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 301  2022\"/>
    </mc:Choice>
  </mc:AlternateContent>
  <xr:revisionPtr revIDLastSave="0" documentId="13_ncr:1_{735B9BAC-8A0C-4CA5-93C7-20E27230C6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sk retur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O33" i="1" l="1"/>
  <c r="N33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I21" i="1"/>
  <c r="F22" i="1"/>
  <c r="G22" i="1"/>
  <c r="I22" i="1"/>
  <c r="F23" i="1"/>
  <c r="G23" i="1"/>
  <c r="I23" i="1"/>
  <c r="F24" i="1"/>
  <c r="G24" i="1"/>
  <c r="I24" i="1"/>
  <c r="F25" i="1"/>
  <c r="G25" i="1"/>
  <c r="I25" i="1"/>
  <c r="F26" i="1"/>
  <c r="G26" i="1"/>
  <c r="I26" i="1"/>
  <c r="F27" i="1"/>
  <c r="G27" i="1"/>
  <c r="I27" i="1"/>
  <c r="F28" i="1"/>
  <c r="G28" i="1"/>
  <c r="I28" i="1"/>
  <c r="F29" i="1"/>
  <c r="G29" i="1"/>
  <c r="I29" i="1"/>
  <c r="F30" i="1"/>
  <c r="G30" i="1"/>
  <c r="I30" i="1"/>
  <c r="F31" i="1"/>
  <c r="G31" i="1"/>
  <c r="I31" i="1"/>
  <c r="F32" i="1"/>
  <c r="G32" i="1"/>
  <c r="I32" i="1"/>
  <c r="F33" i="1"/>
  <c r="G33" i="1"/>
  <c r="I33" i="1"/>
  <c r="F34" i="1"/>
  <c r="G34" i="1"/>
  <c r="I34" i="1"/>
  <c r="F35" i="1"/>
  <c r="G35" i="1"/>
  <c r="I35" i="1"/>
  <c r="F36" i="1"/>
  <c r="G36" i="1"/>
  <c r="I36" i="1"/>
  <c r="F37" i="1"/>
  <c r="G37" i="1"/>
  <c r="I37" i="1"/>
  <c r="F38" i="1"/>
  <c r="G38" i="1"/>
  <c r="I38" i="1"/>
  <c r="F39" i="1"/>
  <c r="G39" i="1"/>
  <c r="I39" i="1"/>
  <c r="F40" i="1"/>
  <c r="G40" i="1"/>
  <c r="I40" i="1"/>
  <c r="F41" i="1"/>
  <c r="G41" i="1"/>
  <c r="I41" i="1"/>
  <c r="F42" i="1"/>
  <c r="G42" i="1"/>
  <c r="I42" i="1"/>
  <c r="F43" i="1"/>
  <c r="G43" i="1"/>
  <c r="I43" i="1"/>
  <c r="F44" i="1"/>
  <c r="G44" i="1"/>
  <c r="I44" i="1"/>
  <c r="F45" i="1"/>
  <c r="G45" i="1"/>
  <c r="I45" i="1"/>
  <c r="F46" i="1"/>
  <c r="G46" i="1"/>
  <c r="I46" i="1"/>
  <c r="F47" i="1"/>
  <c r="G47" i="1"/>
  <c r="I47" i="1"/>
  <c r="F48" i="1"/>
  <c r="G48" i="1"/>
  <c r="I48" i="1"/>
  <c r="F49" i="1"/>
  <c r="G49" i="1"/>
  <c r="I49" i="1"/>
  <c r="F50" i="1"/>
  <c r="G50" i="1"/>
  <c r="I50" i="1"/>
  <c r="F51" i="1"/>
  <c r="G51" i="1"/>
  <c r="I51" i="1"/>
  <c r="F52" i="1"/>
  <c r="G52" i="1"/>
  <c r="I52" i="1"/>
  <c r="F53" i="1"/>
  <c r="G53" i="1"/>
  <c r="I53" i="1"/>
  <c r="F54" i="1"/>
  <c r="G54" i="1"/>
  <c r="I54" i="1"/>
  <c r="F55" i="1"/>
  <c r="G55" i="1"/>
  <c r="I55" i="1"/>
  <c r="F56" i="1"/>
  <c r="G56" i="1"/>
  <c r="I56" i="1"/>
  <c r="F57" i="1"/>
  <c r="G57" i="1"/>
  <c r="I57" i="1"/>
  <c r="F58" i="1"/>
  <c r="G58" i="1"/>
  <c r="I58" i="1"/>
  <c r="F59" i="1"/>
  <c r="G59" i="1"/>
  <c r="I59" i="1"/>
  <c r="F60" i="1"/>
  <c r="G60" i="1"/>
  <c r="I60" i="1"/>
  <c r="G2" i="1"/>
  <c r="H2" i="1"/>
  <c r="I2" i="1"/>
  <c r="G3" i="1"/>
  <c r="H3" i="1"/>
  <c r="I3" i="1"/>
  <c r="G4" i="1"/>
  <c r="H4" i="1"/>
  <c r="I4" i="1"/>
  <c r="G5" i="1"/>
  <c r="H5" i="1"/>
  <c r="I5" i="1"/>
  <c r="G6" i="1"/>
  <c r="H6" i="1"/>
  <c r="I6" i="1"/>
  <c r="F3" i="1"/>
  <c r="F4" i="1"/>
  <c r="F5" i="1"/>
  <c r="F6" i="1"/>
  <c r="F2" i="1"/>
  <c r="N26" i="1" l="1"/>
  <c r="M26" i="1"/>
  <c r="M3" i="1"/>
  <c r="M2" i="1"/>
  <c r="L8" i="1"/>
  <c r="L26" i="1"/>
  <c r="L32" i="1" s="1"/>
  <c r="L2" i="1"/>
  <c r="L3" i="1"/>
  <c r="K26" i="1"/>
  <c r="K8" i="1"/>
  <c r="K7" i="1"/>
  <c r="K3" i="1"/>
  <c r="K2" i="1"/>
  <c r="K22" i="1" l="1"/>
  <c r="M33" i="1"/>
  <c r="M32" i="1"/>
  <c r="O26" i="1"/>
  <c r="L22" i="1"/>
  <c r="K32" i="1"/>
  <c r="K33" i="1"/>
  <c r="K20" i="1"/>
  <c r="K12" i="1"/>
  <c r="L20" i="1"/>
  <c r="L33" i="1"/>
  <c r="K14" i="1"/>
  <c r="K15" i="1"/>
  <c r="K13" i="1"/>
  <c r="L14" i="1"/>
  <c r="L12" i="1"/>
  <c r="L15" i="1"/>
  <c r="L13" i="1"/>
  <c r="P33" i="1" l="1"/>
  <c r="P32" i="1"/>
</calcChain>
</file>

<file path=xl/sharedStrings.xml><?xml version="1.0" encoding="utf-8"?>
<sst xmlns="http://schemas.openxmlformats.org/spreadsheetml/2006/main" count="59" uniqueCount="41">
  <si>
    <t>Date</t>
  </si>
  <si>
    <t>Mean</t>
  </si>
  <si>
    <t>standard deviation</t>
  </si>
  <si>
    <t xml:space="preserve"> </t>
  </si>
  <si>
    <t>Correlation matrix</t>
  </si>
  <si>
    <t>sp500_ret</t>
  </si>
  <si>
    <t xml:space="preserve">Beta </t>
  </si>
  <si>
    <t>return</t>
  </si>
  <si>
    <t>risk-free</t>
  </si>
  <si>
    <t>market</t>
  </si>
  <si>
    <t>Portfolio return</t>
  </si>
  <si>
    <t>portfolio standard deviation</t>
  </si>
  <si>
    <t>Assume</t>
  </si>
  <si>
    <t>risk free rate</t>
  </si>
  <si>
    <t>marekt return</t>
  </si>
  <si>
    <t>CAPM return calculation based on Beta</t>
  </si>
  <si>
    <t>1/3 in each</t>
  </si>
  <si>
    <t>STOCK1_ret</t>
  </si>
  <si>
    <t>STOCK2_ret</t>
  </si>
  <si>
    <t>STOCK3_ret</t>
  </si>
  <si>
    <t>STOCK1</t>
  </si>
  <si>
    <t>STOCK2</t>
  </si>
  <si>
    <t>STOCK3</t>
  </si>
  <si>
    <t>STOCK 1</t>
  </si>
  <si>
    <t>STOCK 2</t>
  </si>
  <si>
    <t>STOCK 3</t>
  </si>
  <si>
    <t>10% stocK 1</t>
  </si>
  <si>
    <t>50% stock 1</t>
  </si>
  <si>
    <t>90% stock 1</t>
  </si>
  <si>
    <t>100% stock 1</t>
  </si>
  <si>
    <t>Portfolio STOCK 1 + STOCK 2</t>
  </si>
  <si>
    <t>Portfolio STOCK 1 + STOCK 2 + STOCK 3</t>
  </si>
  <si>
    <t>weight of each STOCK  - YOUR CHOICE</t>
  </si>
  <si>
    <t>PORTFOLIO RET, STD RESULTS</t>
  </si>
  <si>
    <t>S&amp;P500</t>
  </si>
  <si>
    <t>Portfolio</t>
  </si>
  <si>
    <t>portfolio</t>
  </si>
  <si>
    <t>wmt</t>
  </si>
  <si>
    <t>tesla</t>
  </si>
  <si>
    <t>amazon</t>
  </si>
  <si>
    <t>SNP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</si>
</sst>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center"/>
    </xf>
    <xf numFmtId="0" fontId="0" fillId="33" borderId="0" xfId="0" applyFill="1"/>
    <xf numFmtId="0" fontId="16" fillId="33" borderId="0" xfId="0" applyFont="1" applyFill="1"/>
    <xf numFmtId="0" fontId="16" fillId="34" borderId="0" xfId="0" applyFont="1" applyFill="1" applyAlignment="1">
      <alignment horizontal="center"/>
    </xf>
    <xf numFmtId="0" fontId="16" fillId="34" borderId="0" xfId="0" applyFont="1" applyFill="1"/>
    <xf numFmtId="0" fontId="16" fillId="35" borderId="0" xfId="0" applyFont="1" applyFill="1" applyAlignment="1">
      <alignment horizontal="center"/>
    </xf>
    <xf numFmtId="10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6" fillId="36" borderId="0" xfId="0" applyFont="1" applyFill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0" fillId="35" borderId="0" xfId="0" applyFill="1" applyAlignment="1">
      <alignment horizontal="center"/>
    </xf>
    <xf numFmtId="0" fontId="0" fillId="35" borderId="0" xfId="0" applyFill="1"/>
    <xf numFmtId="10" fontId="0" fillId="36" borderId="0" xfId="0" applyNumberFormat="1" applyFill="1" applyAlignment="1">
      <alignment horizontal="center"/>
    </xf>
    <xf numFmtId="10" fontId="0" fillId="34" borderId="0" xfId="0" applyNumberFormat="1" applyFill="1" applyAlignment="1">
      <alignment horizontal="center"/>
    </xf>
    <xf numFmtId="10" fontId="0" fillId="36" borderId="0" xfId="1" applyNumberFormat="1" applyFont="1" applyFill="1" applyAlignment="1">
      <alignment horizontal="center"/>
    </xf>
    <xf numFmtId="0" fontId="16" fillId="37" borderId="0" xfId="0" applyFont="1" applyFill="1" applyAlignment="1">
      <alignment horizontal="center"/>
    </xf>
    <xf numFmtId="10" fontId="0" fillId="37" borderId="0" xfId="1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9" borderId="0" xfId="0" applyFill="1"/>
    <xf numFmtId="0" fontId="16" fillId="39" borderId="0" xfId="0" applyFont="1" applyFill="1" applyAlignment="1">
      <alignment horizontal="center"/>
    </xf>
    <xf numFmtId="2" fontId="0" fillId="36" borderId="0" xfId="1" applyNumberFormat="1" applyFont="1" applyFill="1" applyAlignment="1">
      <alignment horizontal="center"/>
    </xf>
    <xf numFmtId="2" fontId="0" fillId="38" borderId="0" xfId="43" applyNumberFormat="1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0" fontId="0" fillId="35" borderId="0" xfId="1" applyNumberFormat="1" applyFont="1" applyFill="1" applyAlignment="1">
      <alignment horizontal="center"/>
    </xf>
    <xf numFmtId="10" fontId="0" fillId="35" borderId="0" xfId="0" applyNumberFormat="1" applyFill="1" applyAlignment="1">
      <alignment horizontal="center"/>
    </xf>
    <xf numFmtId="0" fontId="16" fillId="36" borderId="0" xfId="0" applyFont="1" applyFill="1" applyAlignment="1">
      <alignment horizontal="center" wrapText="1"/>
    </xf>
    <xf numFmtId="0" fontId="16" fillId="36" borderId="0" xfId="0" applyFont="1" applyFill="1" applyAlignment="1">
      <alignment horizontal="center" vertical="top" wrapText="1"/>
    </xf>
    <xf numFmtId="164" fontId="0" fillId="38" borderId="0" xfId="43" applyFont="1" applyFill="1" applyAlignment="1">
      <alignment horizontal="center"/>
    </xf>
    <xf numFmtId="0" fontId="0" fillId="36" borderId="0" xfId="0" applyFill="1" applyAlignment="1">
      <alignment horizontal="center"/>
    </xf>
    <xf numFmtId="0" fontId="16" fillId="39" borderId="0" xfId="0" applyFont="1" applyFill="1" applyAlignment="1">
      <alignment horizontal="center"/>
    </xf>
    <xf numFmtId="0" fontId="0" fillId="40" borderId="0" xfId="0" applyFill="1" applyAlignment="1">
      <alignment horizontal="center"/>
    </xf>
    <xf numFmtId="4" fontId="0" fillId="40" borderId="0" xfId="0" applyNumberFormat="1" applyFill="1" applyAlignment="1">
      <alignment horizontal="center"/>
    </xf>
    <xf numFmtId="0" fontId="0" fillId="35" borderId="0" xfId="0" applyFill="1" applyAlignment="1">
      <alignment horizontal="left"/>
    </xf>
    <xf numFmtId="14" fontId="0" fillId="35" borderId="0" xfId="0" applyNumberFormat="1" applyFill="1" applyAlignment="1">
      <alignment horizontal="left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6" xr:uid="{00000000-0005-0000-0000-00000D000000}"/>
    <cellStyle name="60% - Accent2" xfId="26" builtinId="36" customBuiltin="1"/>
    <cellStyle name="60% - Accent2 2" xfId="47" xr:uid="{00000000-0005-0000-0000-00000F000000}"/>
    <cellStyle name="60% - Accent3" xfId="30" builtinId="40" customBuiltin="1"/>
    <cellStyle name="60% - Accent3 2" xfId="48" xr:uid="{00000000-0005-0000-0000-000011000000}"/>
    <cellStyle name="60% - Accent4" xfId="34" builtinId="44" customBuiltin="1"/>
    <cellStyle name="60% - Accent4 2" xfId="49" xr:uid="{00000000-0005-0000-0000-000013000000}"/>
    <cellStyle name="60% - Accent5" xfId="38" builtinId="48" customBuiltin="1"/>
    <cellStyle name="60% - Accent5 2" xfId="50" xr:uid="{00000000-0005-0000-0000-000015000000}"/>
    <cellStyle name="60% - Accent6" xfId="42" builtinId="52" customBuiltin="1"/>
    <cellStyle name="60% - Accent6 2" xfId="51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eutral 2" xfId="45" xr:uid="{00000000-0005-0000-0000-00002B000000}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itle 2" xfId="44" xr:uid="{00000000-0005-0000-0000-000031000000}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SML - Security Market Line</c:v>
          </c:tx>
          <c:xVal>
            <c:numRef>
              <c:f>'risk return template'!$K$32:$O$32</c:f>
              <c:numCache>
                <c:formatCode>0.00</c:formatCode>
                <c:ptCount val="5"/>
                <c:pt idx="0">
                  <c:v>0.50910886004227296</c:v>
                </c:pt>
                <c:pt idx="1">
                  <c:v>2.1390437920592058</c:v>
                </c:pt>
                <c:pt idx="2">
                  <c:v>1.3259920832484433</c:v>
                </c:pt>
                <c:pt idx="3">
                  <c:v>0</c:v>
                </c:pt>
                <c:pt idx="4">
                  <c:v>1</c:v>
                </c:pt>
              </c:numCache>
            </c:numRef>
          </c:xVal>
          <c:yVal>
            <c:numRef>
              <c:f>'risk return template'!$K$33:$O$33</c:f>
              <c:numCache>
                <c:formatCode>0.00%</c:formatCode>
                <c:ptCount val="5"/>
                <c:pt idx="0">
                  <c:v>5.0546531602536374E-2</c:v>
                </c:pt>
                <c:pt idx="1">
                  <c:v>0.14834262752355235</c:v>
                </c:pt>
                <c:pt idx="2">
                  <c:v>9.9559524994906598E-2</c:v>
                </c:pt>
                <c:pt idx="3">
                  <c:v>0.02</c:v>
                </c:pt>
                <c:pt idx="4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E9-4D9A-9E0F-31AFAC021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92608"/>
        <c:axId val="125094912"/>
      </c:scatterChart>
      <c:valAx>
        <c:axId val="12509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Beta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5094912"/>
        <c:crosses val="autoZero"/>
        <c:crossBetween val="midCat"/>
      </c:valAx>
      <c:valAx>
        <c:axId val="125094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Stock's</a:t>
                </a:r>
                <a:r>
                  <a:rPr lang="en-US" baseline="0"/>
                  <a:t> Return</a:t>
                </a: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125092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34</xdr:row>
      <xdr:rowOff>142875</xdr:rowOff>
    </xdr:from>
    <xdr:to>
      <xdr:col>13</xdr:col>
      <xdr:colOff>123825</xdr:colOff>
      <xdr:row>49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399540</xdr:colOff>
      <xdr:row>7</xdr:row>
      <xdr:rowOff>133140</xdr:rowOff>
    </xdr:from>
    <xdr:to>
      <xdr:col>1</xdr:col>
      <xdr:colOff>399900</xdr:colOff>
      <xdr:row>7</xdr:row>
      <xdr:rowOff>133500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D3B6693-ED1B-4B1D-8F37-04D8D8734A54}"/>
                </a:ext>
              </a:extLst>
            </xdr14:cNvPr>
            <xdr14:cNvContentPartPr/>
          </xdr14:nvContentPartPr>
          <xdr14:nvPr macro=""/>
          <xdr14:xfrm>
            <a:off x="4019040" y="146664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AD3B6693-ED1B-4B1D-8F37-04D8D8734A5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010400" y="1457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408157</xdr:colOff>
      <xdr:row>0</xdr:row>
      <xdr:rowOff>129144</xdr:rowOff>
    </xdr:from>
    <xdr:to>
      <xdr:col>3</xdr:col>
      <xdr:colOff>408517</xdr:colOff>
      <xdr:row>0</xdr:row>
      <xdr:rowOff>129504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48EAEA3A-4F97-9C0D-6E26-BB031B7EF7A3}"/>
                </a:ext>
              </a:extLst>
            </xdr14:cNvPr>
            <xdr14:cNvContentPartPr/>
          </xdr14:nvContentPartPr>
          <xdr14:nvPr macro=""/>
          <xdr14:xfrm>
            <a:off x="2816621" y="129144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48EAEA3A-4F97-9C0D-6E26-BB031B7EF7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807621" y="120144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27T15:16:03.0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36.43264" units="1/cm"/>
          <inkml:channelProperty channel="Y" name="resolution" value="36.48649" units="1/cm"/>
          <inkml:channelProperty channel="T" name="resolution" value="1" units="1/dev"/>
        </inkml:channelProperties>
      </inkml:inkSource>
      <inkml:timestamp xml:id="ts0" timeString="2022-09-27T15:19:38.7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140" zoomScaleNormal="140" workbookViewId="0">
      <selection activeCell="E6" sqref="E6"/>
    </sheetView>
  </sheetViews>
  <sheetFormatPr defaultRowHeight="14.4" x14ac:dyDescent="0.3"/>
  <cols>
    <col min="1" max="1" width="17.6640625" style="38" customWidth="1"/>
    <col min="2" max="4" width="8.88671875" style="1"/>
    <col min="5" max="5" width="19.6640625" style="1" customWidth="1"/>
    <col min="6" max="9" width="15.33203125" style="1" customWidth="1"/>
    <col min="10" max="10" width="24.6640625" customWidth="1"/>
    <col min="11" max="11" width="22" style="1" customWidth="1"/>
    <col min="12" max="12" width="27.109375" style="1" customWidth="1"/>
    <col min="13" max="13" width="15.44140625" style="1" customWidth="1"/>
    <col min="14" max="14" width="15" customWidth="1"/>
  </cols>
  <sheetData>
    <row r="1" spans="1:15" x14ac:dyDescent="0.3">
      <c r="A1" s="38" t="s">
        <v>0</v>
      </c>
      <c r="B1" s="36" t="s">
        <v>37</v>
      </c>
      <c r="C1" s="36" t="s">
        <v>38</v>
      </c>
      <c r="D1" s="36" t="s">
        <v>39</v>
      </c>
      <c r="E1" s="37" t="s">
        <v>40</v>
      </c>
      <c r="F1" s="18" t="s">
        <v>17</v>
      </c>
      <c r="G1" s="18" t="s">
        <v>18</v>
      </c>
      <c r="H1" s="18" t="s">
        <v>19</v>
      </c>
      <c r="I1" s="18" t="s">
        <v>5</v>
      </c>
      <c r="J1" s="3"/>
      <c r="K1" s="2" t="s">
        <v>20</v>
      </c>
      <c r="L1" s="2" t="s">
        <v>21</v>
      </c>
      <c r="M1" s="2" t="s">
        <v>22</v>
      </c>
    </row>
    <row r="2" spans="1:15" x14ac:dyDescent="0.3">
      <c r="A2" s="39">
        <v>43009</v>
      </c>
      <c r="B2" s="36">
        <v>79.561722000000003</v>
      </c>
      <c r="C2" s="36">
        <v>22.101998999999999</v>
      </c>
      <c r="D2" s="36">
        <v>55.264000000000003</v>
      </c>
      <c r="E2" s="37">
        <v>2575.2600000000002</v>
      </c>
      <c r="F2" s="19">
        <f>IFERROR(IF(OR(B3/B2-1),B3/B2-1,""),"")</f>
        <v>0.11361845587002239</v>
      </c>
      <c r="G2" s="19">
        <f t="shared" ref="G2:I6" si="0">IFERROR(IF(OR(C3/C2-1),C3/C2-1,""),"")</f>
        <v>-6.841005648403109E-2</v>
      </c>
      <c r="H2" s="19">
        <f t="shared" si="0"/>
        <v>6.4662384192240907E-2</v>
      </c>
      <c r="I2" s="19">
        <f t="shared" si="0"/>
        <v>2.8082601368405458E-2</v>
      </c>
      <c r="J2" s="2" t="s">
        <v>1</v>
      </c>
      <c r="K2" s="8">
        <f>IFERROR(IF(OR(AVERAGE(F2:F61)&lt;&gt;0,F2),AVERAGE(F2:F61),""),"")</f>
        <v>1.017863140623898E-2</v>
      </c>
      <c r="L2" s="8">
        <f>IFERROR(IF(OR(AVERAGE(G2:G61)&lt;&gt;0,G2),AVERAGE(G2:G61),""),"")</f>
        <v>6.1866118781752355E-2</v>
      </c>
      <c r="M2" s="8">
        <f>IFERROR(IF(OR(AVERAGE(H2:H61)&lt;&gt;0,H2),AVERAGE(H2:H61),""),"")</f>
        <v>1.6998782606001194E-2</v>
      </c>
    </row>
    <row r="3" spans="1:15" x14ac:dyDescent="0.3">
      <c r="A3" s="39">
        <v>43040</v>
      </c>
      <c r="B3" s="36">
        <v>88.601401999999993</v>
      </c>
      <c r="C3" s="36">
        <v>20.59</v>
      </c>
      <c r="D3" s="36">
        <v>58.837502000000001</v>
      </c>
      <c r="E3" s="37">
        <v>2647.58</v>
      </c>
      <c r="F3" s="19">
        <f t="shared" ref="F3:F7" si="1">IFERROR(IF(OR(B4/B3-1),B4/B3-1,""),"")</f>
        <v>1.5632958042808509E-2</v>
      </c>
      <c r="G3" s="19">
        <f t="shared" si="0"/>
        <v>8.094511898980139E-3</v>
      </c>
      <c r="H3" s="19">
        <f t="shared" si="0"/>
        <v>-6.1865814765555971E-3</v>
      </c>
      <c r="I3" s="19">
        <f t="shared" si="0"/>
        <v>9.8316198188534987E-3</v>
      </c>
      <c r="J3" s="4" t="s">
        <v>2</v>
      </c>
      <c r="K3" s="8">
        <f>IFERROR(IF(OR(STDEV(F2:F61)&lt;&gt;0,F3),STDEV(F2:F61),""),"")</f>
        <v>5.7443477238429422E-2</v>
      </c>
      <c r="L3" s="8">
        <f>IFERROR(IF(OR(STDEV(G2:G61)&lt;&gt;0,G3),STDEV(G2:G61),""),"")</f>
        <v>0.20765704004637014</v>
      </c>
      <c r="M3" s="8">
        <f>IFERROR(IF(OR(STDEV(H2:H61)&lt;&gt;0,H3),STDEV(H2:H61),""),"")</f>
        <v>9.6330341056609259E-2</v>
      </c>
    </row>
    <row r="4" spans="1:15" x14ac:dyDescent="0.3">
      <c r="A4" s="39">
        <v>43070</v>
      </c>
      <c r="B4" s="36">
        <v>89.986503999999996</v>
      </c>
      <c r="C4" s="36">
        <v>20.756665999999999</v>
      </c>
      <c r="D4" s="36">
        <v>58.473498999999997</v>
      </c>
      <c r="E4" s="37">
        <v>2673.61</v>
      </c>
      <c r="F4" s="19">
        <f t="shared" si="1"/>
        <v>8.5182751404588419E-2</v>
      </c>
      <c r="G4" s="19">
        <f t="shared" si="0"/>
        <v>0.13797981814613203</v>
      </c>
      <c r="H4" s="19">
        <f t="shared" si="0"/>
        <v>0.2406389773254376</v>
      </c>
      <c r="I4" s="19">
        <f t="shared" si="0"/>
        <v>5.6178724645703726E-2</v>
      </c>
    </row>
    <row r="5" spans="1:15" x14ac:dyDescent="0.3">
      <c r="A5" s="39">
        <v>43101</v>
      </c>
      <c r="B5" s="36">
        <v>97.651802000000004</v>
      </c>
      <c r="C5" s="36">
        <v>23.620667000000001</v>
      </c>
      <c r="D5" s="36">
        <v>72.544501999999994</v>
      </c>
      <c r="E5" s="37">
        <v>2823.81</v>
      </c>
      <c r="F5" s="19">
        <f t="shared" si="1"/>
        <v>-0.15562841328826682</v>
      </c>
      <c r="G5" s="19">
        <f t="shared" si="0"/>
        <v>-3.1751855271487495E-2</v>
      </c>
      <c r="H5" s="19">
        <f t="shared" si="0"/>
        <v>4.2429073398284611E-2</v>
      </c>
      <c r="I5" s="19">
        <f t="shared" si="0"/>
        <v>-3.8947379604151844E-2</v>
      </c>
      <c r="J5" s="6" t="s">
        <v>4</v>
      </c>
      <c r="K5" s="5" t="s">
        <v>20</v>
      </c>
      <c r="L5" s="5" t="s">
        <v>21</v>
      </c>
      <c r="M5" s="5" t="s">
        <v>22</v>
      </c>
    </row>
    <row r="6" spans="1:15" x14ac:dyDescent="0.3">
      <c r="A6" s="39">
        <v>43132</v>
      </c>
      <c r="B6" s="36">
        <v>82.454407000000003</v>
      </c>
      <c r="C6" s="36">
        <v>22.870667000000001</v>
      </c>
      <c r="D6" s="36">
        <v>75.622497999999993</v>
      </c>
      <c r="E6" s="37">
        <v>2713.83</v>
      </c>
      <c r="F6" s="19">
        <f t="shared" si="1"/>
        <v>-1.15544218273258E-2</v>
      </c>
      <c r="G6" s="19">
        <f t="shared" si="0"/>
        <v>-0.22424645507715202</v>
      </c>
      <c r="H6" s="19">
        <f t="shared" si="0"/>
        <v>-4.3049371365648348E-2</v>
      </c>
      <c r="I6" s="19">
        <f t="shared" si="0"/>
        <v>-2.6884513768364315E-2</v>
      </c>
      <c r="J6" s="5" t="s">
        <v>23</v>
      </c>
      <c r="K6" s="9">
        <v>1</v>
      </c>
      <c r="L6" s="9"/>
      <c r="M6" s="9"/>
    </row>
    <row r="7" spans="1:15" x14ac:dyDescent="0.3">
      <c r="A7" s="39">
        <v>43160</v>
      </c>
      <c r="B7" s="36">
        <v>81.501694000000001</v>
      </c>
      <c r="C7" s="36">
        <v>17.742000999999998</v>
      </c>
      <c r="D7" s="36">
        <v>72.366996999999998</v>
      </c>
      <c r="E7" s="37">
        <v>2640.87</v>
      </c>
      <c r="F7" s="19">
        <f t="shared" si="1"/>
        <v>1.9545606009119254E-4</v>
      </c>
      <c r="G7" s="19">
        <f t="shared" ref="G7:G60" si="2">IFERROR(IF(OR(C8/C7-1),C8/C7-1,""),"")</f>
        <v>0.10434736194637817</v>
      </c>
      <c r="H7" s="19">
        <f t="shared" ref="H7:H60" si="3">IFERROR(IF(OR(D8/D7-1),D8/D7-1,""),"")</f>
        <v>8.2074788870954762E-2</v>
      </c>
      <c r="I7" s="19">
        <f t="shared" ref="I7:I60" si="4">IFERROR(IF(OR(E8/E7-1),E8/E7-1,""),"")</f>
        <v>2.718801001185378E-3</v>
      </c>
      <c r="J7" s="5" t="s">
        <v>24</v>
      </c>
      <c r="K7" s="16">
        <f>IFERROR(IF(OR(CORREL(F2:F61, G2:G61)&lt;&gt;0,F2),CORREL(F2:F61, G2:G61),""),"")</f>
        <v>0.34381368979338084</v>
      </c>
      <c r="L7" s="9">
        <v>1</v>
      </c>
      <c r="M7" s="9"/>
    </row>
    <row r="8" spans="1:15" x14ac:dyDescent="0.3">
      <c r="A8" s="39">
        <v>43191</v>
      </c>
      <c r="B8" s="36">
        <v>81.517623999999998</v>
      </c>
      <c r="C8" s="36">
        <v>19.593332</v>
      </c>
      <c r="D8" s="36">
        <v>78.306503000000006</v>
      </c>
      <c r="E8" s="37">
        <v>2648.05</v>
      </c>
      <c r="F8" s="19">
        <f t="shared" ref="F8:F60" si="5">IFERROR(IF(OR(B9/B8-1),B9/B8-1,""),"")</f>
        <v>-6.6922939265256276E-2</v>
      </c>
      <c r="G8" s="19">
        <f t="shared" si="2"/>
        <v>-3.1201022878599716E-2</v>
      </c>
      <c r="H8" s="19">
        <f t="shared" si="3"/>
        <v>4.0539417269086719E-2</v>
      </c>
      <c r="I8" s="19">
        <f t="shared" si="4"/>
        <v>2.1608353316591389E-2</v>
      </c>
      <c r="J8" s="5" t="s">
        <v>25</v>
      </c>
      <c r="K8" s="16">
        <f>IFERROR(IF(OR(CORREL(F2:F61, H2:H61)&lt;&gt;0,F3),CORREL(F2:F61, H2:H61),""),"")</f>
        <v>0.3342756229881223</v>
      </c>
      <c r="L8" s="16">
        <f>IFERROR(IF(OR(CORREL(G2:G61, H2:H61)&lt;&gt;0,G2),CORREL(G2:G61, H2:H61),""),"")</f>
        <v>0.46295995170298865</v>
      </c>
      <c r="M8" s="9">
        <v>1</v>
      </c>
    </row>
    <row r="9" spans="1:15" x14ac:dyDescent="0.3">
      <c r="A9" s="39">
        <v>43221</v>
      </c>
      <c r="B9" s="36">
        <v>76.062224999999998</v>
      </c>
      <c r="C9" s="36">
        <v>18.981999999999999</v>
      </c>
      <c r="D9" s="36">
        <v>81.481003000000001</v>
      </c>
      <c r="E9" s="37">
        <v>2705.27</v>
      </c>
      <c r="F9" s="19">
        <f t="shared" si="5"/>
        <v>4.4216192729045423E-2</v>
      </c>
      <c r="G9" s="19">
        <f t="shared" si="2"/>
        <v>0.20447439679696555</v>
      </c>
      <c r="H9" s="19">
        <f t="shared" si="3"/>
        <v>4.3065191526913349E-2</v>
      </c>
      <c r="I9" s="19">
        <f t="shared" si="4"/>
        <v>4.8424002040461378E-3</v>
      </c>
      <c r="J9" s="7"/>
      <c r="K9" s="13"/>
      <c r="L9" s="13"/>
      <c r="M9" s="13"/>
      <c r="N9" s="14"/>
      <c r="O9" s="14"/>
    </row>
    <row r="10" spans="1:15" x14ac:dyDescent="0.3">
      <c r="A10" s="39">
        <v>43252</v>
      </c>
      <c r="B10" s="36">
        <v>79.425407000000007</v>
      </c>
      <c r="C10" s="36">
        <v>22.863333000000001</v>
      </c>
      <c r="D10" s="36">
        <v>84.989998</v>
      </c>
      <c r="E10" s="37">
        <v>2718.37</v>
      </c>
      <c r="F10" s="19">
        <f t="shared" si="5"/>
        <v>4.1798023143903906E-2</v>
      </c>
      <c r="G10" s="19">
        <f t="shared" si="2"/>
        <v>-0.1306604771928922</v>
      </c>
      <c r="H10" s="19">
        <f t="shared" si="3"/>
        <v>4.5676010017084545E-2</v>
      </c>
      <c r="I10" s="19">
        <f t="shared" si="4"/>
        <v>3.6021586465418753E-2</v>
      </c>
      <c r="J10" s="10"/>
      <c r="K10" s="34" t="s">
        <v>30</v>
      </c>
      <c r="L10" s="34"/>
      <c r="M10" s="11"/>
      <c r="N10" s="12"/>
      <c r="O10" s="12"/>
    </row>
    <row r="11" spans="1:15" x14ac:dyDescent="0.3">
      <c r="A11" s="39">
        <v>43282</v>
      </c>
      <c r="B11" s="36">
        <v>82.745232000000001</v>
      </c>
      <c r="C11" s="36">
        <v>19.875999</v>
      </c>
      <c r="D11" s="36">
        <v>88.872001999999995</v>
      </c>
      <c r="E11" s="37">
        <v>2816.29</v>
      </c>
      <c r="F11" s="19">
        <f t="shared" si="5"/>
        <v>7.4302045584934806E-2</v>
      </c>
      <c r="G11" s="19">
        <f t="shared" si="2"/>
        <v>1.1806551207815819E-2</v>
      </c>
      <c r="H11" s="19">
        <f t="shared" si="3"/>
        <v>0.13236447627229109</v>
      </c>
      <c r="I11" s="19">
        <f t="shared" si="4"/>
        <v>3.0263218631604083E-2</v>
      </c>
      <c r="J11" s="10"/>
      <c r="K11" s="10" t="s">
        <v>10</v>
      </c>
      <c r="L11" s="10" t="s">
        <v>11</v>
      </c>
      <c r="M11" s="11"/>
      <c r="N11" s="12"/>
      <c r="O11" s="12"/>
    </row>
    <row r="12" spans="1:15" x14ac:dyDescent="0.3">
      <c r="A12" s="39">
        <v>43313</v>
      </c>
      <c r="B12" s="36">
        <v>88.893371999999999</v>
      </c>
      <c r="C12" s="36">
        <v>20.110665999999998</v>
      </c>
      <c r="D12" s="36">
        <v>100.635498</v>
      </c>
      <c r="E12" s="37">
        <v>2901.52</v>
      </c>
      <c r="F12" s="19">
        <f t="shared" si="5"/>
        <v>-1.4651767288116901E-2</v>
      </c>
      <c r="G12" s="19">
        <f t="shared" si="2"/>
        <v>-0.12228998283796255</v>
      </c>
      <c r="H12" s="19">
        <f t="shared" si="3"/>
        <v>-4.8243016594402555E-3</v>
      </c>
      <c r="I12" s="19">
        <f t="shared" si="4"/>
        <v>4.2943009181395375E-3</v>
      </c>
      <c r="J12" s="10" t="s">
        <v>26</v>
      </c>
      <c r="K12" s="17">
        <f>IFERROR(IF(OR(10%*K2+ 90%*L2),10%*K2+ 90%*L2,""),"")</f>
        <v>5.6697370044201015E-2</v>
      </c>
      <c r="L12" s="15">
        <f>IFERROR(IF(OR(SQRT(10%^2*$K$3^2+90%^2*$L$3^2+2*10%*90%*$K$7*$K$3*$L$3)&lt;&gt;0, $K$2),SQRT(10%^2*$K$3^2+90%^2*$L$3^2+2*10%*90%*$K$7*$K$3*$L$3),""),"")</f>
        <v>0.18894333630294383</v>
      </c>
      <c r="M12" s="15"/>
      <c r="N12" s="12"/>
      <c r="O12" s="12"/>
    </row>
    <row r="13" spans="1:15" x14ac:dyDescent="0.3">
      <c r="A13" s="39">
        <v>43344</v>
      </c>
      <c r="B13" s="36">
        <v>87.590926999999994</v>
      </c>
      <c r="C13" s="36">
        <v>17.651333000000001</v>
      </c>
      <c r="D13" s="36">
        <v>100.150002</v>
      </c>
      <c r="E13" s="37">
        <v>2913.98</v>
      </c>
      <c r="F13" s="19">
        <f t="shared" si="5"/>
        <v>6.7830781149285091E-2</v>
      </c>
      <c r="G13" s="19">
        <f t="shared" si="2"/>
        <v>0.27401148683784959</v>
      </c>
      <c r="H13" s="19">
        <f t="shared" si="3"/>
        <v>-0.20219175831868674</v>
      </c>
      <c r="I13" s="19">
        <f t="shared" si="4"/>
        <v>-6.9403358979814644E-2</v>
      </c>
      <c r="J13" s="10" t="s">
        <v>27</v>
      </c>
      <c r="K13" s="17">
        <f>IFERROR(IF(OR(50%*$K$2+ 50%*$L$2),50%*$K$2+ 50%*$L$2,""),"")</f>
        <v>3.6022375093995668E-2</v>
      </c>
      <c r="L13" s="15">
        <f>IFERROR(IF(OR(SQRT(50%^2*$K$3^2+50%^2*$L$3^2+2*50%*50%*$K$7*$K$3*$L$3)&lt;&gt;0, $K$2),SQRT(50%^2*$K$3^2+50%^2*$L$3^2+2*50%*50%*$K$7*$K$3*$L$3),""),"")</f>
        <v>0.11685845256924733</v>
      </c>
      <c r="M13" s="15"/>
      <c r="N13" s="12"/>
      <c r="O13" s="12"/>
    </row>
    <row r="14" spans="1:15" x14ac:dyDescent="0.3">
      <c r="A14" s="39">
        <v>43374</v>
      </c>
      <c r="B14" s="36">
        <v>93.532287999999994</v>
      </c>
      <c r="C14" s="36">
        <v>22.488001000000001</v>
      </c>
      <c r="D14" s="36">
        <v>79.900497000000001</v>
      </c>
      <c r="E14" s="37">
        <v>2711.74</v>
      </c>
      <c r="F14" s="19">
        <f t="shared" si="5"/>
        <v>-2.6226761393883469E-2</v>
      </c>
      <c r="G14" s="19">
        <f t="shared" si="2"/>
        <v>3.9013383181546457E-2</v>
      </c>
      <c r="H14" s="19">
        <f t="shared" si="3"/>
        <v>5.767175640972555E-2</v>
      </c>
      <c r="I14" s="19">
        <f t="shared" si="4"/>
        <v>1.785938179914015E-2</v>
      </c>
      <c r="J14" s="10" t="s">
        <v>28</v>
      </c>
      <c r="K14" s="17">
        <f>IFERROR(IF(OR(90%*$K$2+ 10%*$L$2),90%*$K$2+ 10%*$L$2,""),"")</f>
        <v>1.5347380143790319E-2</v>
      </c>
      <c r="L14" s="15">
        <f>IFERROR(IF(OR(SQRT(90%^2*$K$3^2+10%^2*$L$3^2+2*90%*10%*$K$7*$K$3*$L$3)&lt;&gt;0, $K$2),SQRT(90%^2*$K$3^2+10%^2*$L$3^2+2*90%*10%*$K$7*$K$3*$L$3),""),"")</f>
        <v>6.1985722311069989E-2</v>
      </c>
      <c r="M14" s="15"/>
      <c r="N14" s="12"/>
      <c r="O14" s="12"/>
    </row>
    <row r="15" spans="1:15" x14ac:dyDescent="0.3">
      <c r="A15" s="39">
        <v>43405</v>
      </c>
      <c r="B15" s="36">
        <v>91.079239000000001</v>
      </c>
      <c r="C15" s="36">
        <v>23.365334000000001</v>
      </c>
      <c r="D15" s="36">
        <v>84.508499</v>
      </c>
      <c r="E15" s="37">
        <v>2760.17</v>
      </c>
      <c r="F15" s="19">
        <f t="shared" si="5"/>
        <v>-4.6082752184611442E-2</v>
      </c>
      <c r="G15" s="19">
        <f t="shared" si="2"/>
        <v>-5.0445159482847668E-2</v>
      </c>
      <c r="H15" s="19">
        <f t="shared" si="3"/>
        <v>-0.11134969986864884</v>
      </c>
      <c r="I15" s="19">
        <f t="shared" si="4"/>
        <v>-9.1776955767217339E-2</v>
      </c>
      <c r="J15" s="10" t="s">
        <v>29</v>
      </c>
      <c r="K15" s="17">
        <f>IFERROR(IF(OR(100%*$K$2+ 0%*$L$2),100%*$K$2+ 0%*$L$2,""),"")</f>
        <v>1.017863140623898E-2</v>
      </c>
      <c r="L15" s="15">
        <f>IFERROR(IF(OR(SQRT(100%^2*$K$3^2+0%^2*$L$3^2+2*100%*0%*$K$7*$K$3*$L$3)&lt;&gt;0, $K$2),SQRT(100%^2*$K$3^2+0%^2*$L$3^2+2*100%*0%*$K$7*$K$3*$L$3),""),"")</f>
        <v>5.7443477238429422E-2</v>
      </c>
      <c r="M15" s="15"/>
      <c r="N15" s="12"/>
      <c r="O15" s="12"/>
    </row>
    <row r="16" spans="1:15" x14ac:dyDescent="0.3">
      <c r="A16" s="39">
        <v>43435</v>
      </c>
      <c r="B16" s="36">
        <v>86.882057000000003</v>
      </c>
      <c r="C16" s="36">
        <v>22.186665999999999</v>
      </c>
      <c r="D16" s="36">
        <v>75.098502999999994</v>
      </c>
      <c r="E16" s="37">
        <v>2506.85</v>
      </c>
      <c r="F16" s="19">
        <f t="shared" si="5"/>
        <v>3.438468313428622E-2</v>
      </c>
      <c r="G16" s="19">
        <f t="shared" si="2"/>
        <v>-7.7463914587256988E-2</v>
      </c>
      <c r="H16" s="19">
        <f t="shared" si="3"/>
        <v>0.14431709777224211</v>
      </c>
      <c r="I16" s="19">
        <f t="shared" si="4"/>
        <v>7.8684404731036883E-2</v>
      </c>
      <c r="J16" s="7"/>
      <c r="K16" s="29"/>
      <c r="L16" s="30"/>
      <c r="M16" s="30"/>
      <c r="N16" s="14"/>
      <c r="O16" s="14"/>
    </row>
    <row r="17" spans="1:16" x14ac:dyDescent="0.3">
      <c r="A17" s="39">
        <v>43466</v>
      </c>
      <c r="B17" s="36">
        <v>89.869468999999995</v>
      </c>
      <c r="C17" s="36">
        <v>20.468</v>
      </c>
      <c r="D17" s="36">
        <v>85.936501000000007</v>
      </c>
      <c r="E17" s="37">
        <v>2704.1</v>
      </c>
      <c r="F17" s="19">
        <f t="shared" si="5"/>
        <v>3.297510303527007E-2</v>
      </c>
      <c r="G17" s="19">
        <f t="shared" si="2"/>
        <v>4.1886505765096782E-2</v>
      </c>
      <c r="H17" s="19">
        <f t="shared" si="3"/>
        <v>-4.5905988190047542E-2</v>
      </c>
      <c r="I17" s="19">
        <f t="shared" si="4"/>
        <v>2.9728930143116061E-2</v>
      </c>
      <c r="J17" s="7"/>
      <c r="K17" s="29"/>
      <c r="L17" s="30"/>
      <c r="M17" s="30"/>
      <c r="N17" s="14"/>
      <c r="O17" s="14"/>
    </row>
    <row r="18" spans="1:16" x14ac:dyDescent="0.3">
      <c r="A18" s="39">
        <v>43497</v>
      </c>
      <c r="B18" s="36">
        <v>92.832924000000006</v>
      </c>
      <c r="C18" s="36">
        <v>21.325333000000001</v>
      </c>
      <c r="D18" s="36">
        <v>81.991501</v>
      </c>
      <c r="E18" s="37">
        <v>2784.49</v>
      </c>
      <c r="F18" s="19">
        <f t="shared" si="5"/>
        <v>-1.4748937564435738E-2</v>
      </c>
      <c r="G18" s="19">
        <f t="shared" si="2"/>
        <v>-0.1251094179865796</v>
      </c>
      <c r="H18" s="19">
        <f t="shared" si="3"/>
        <v>8.5935699603791882E-2</v>
      </c>
      <c r="I18" s="19">
        <f t="shared" si="4"/>
        <v>1.7924287751078349E-2</v>
      </c>
      <c r="J18" s="10"/>
      <c r="K18" s="34" t="s">
        <v>31</v>
      </c>
      <c r="L18" s="34"/>
      <c r="M18" s="11"/>
      <c r="N18" s="12"/>
      <c r="O18" s="12"/>
    </row>
    <row r="19" spans="1:16" x14ac:dyDescent="0.3">
      <c r="A19" s="39">
        <v>43525</v>
      </c>
      <c r="B19" s="36">
        <v>91.463736999999995</v>
      </c>
      <c r="C19" s="36">
        <v>18.657333000000001</v>
      </c>
      <c r="D19" s="36">
        <v>89.037497999999999</v>
      </c>
      <c r="E19" s="37">
        <v>2834.4</v>
      </c>
      <c r="F19" s="19">
        <f t="shared" si="5"/>
        <v>6.011844891052287E-2</v>
      </c>
      <c r="G19" s="19">
        <f t="shared" si="2"/>
        <v>-0.14710923581628732</v>
      </c>
      <c r="H19" s="19">
        <f t="shared" si="3"/>
        <v>8.185874674959992E-2</v>
      </c>
      <c r="I19" s="19">
        <f t="shared" si="4"/>
        <v>3.9313434942139347E-2</v>
      </c>
      <c r="J19" s="10"/>
      <c r="K19" s="10" t="s">
        <v>10</v>
      </c>
      <c r="L19" s="10" t="s">
        <v>11</v>
      </c>
      <c r="M19" s="11"/>
      <c r="N19" s="12"/>
      <c r="O19" s="12"/>
    </row>
    <row r="20" spans="1:16" x14ac:dyDescent="0.3">
      <c r="A20" s="39">
        <v>43556</v>
      </c>
      <c r="B20" s="36">
        <v>96.962395000000001</v>
      </c>
      <c r="C20" s="36">
        <v>15.912667000000001</v>
      </c>
      <c r="D20" s="36">
        <v>96.325996000000004</v>
      </c>
      <c r="E20" s="37">
        <v>2945.83</v>
      </c>
      <c r="F20" s="19">
        <f t="shared" si="5"/>
        <v>-1.3613442613499838E-2</v>
      </c>
      <c r="G20" s="19">
        <f t="shared" si="2"/>
        <v>-0.2242658003212159</v>
      </c>
      <c r="H20" s="19">
        <f t="shared" si="3"/>
        <v>-7.8613191811689243E-2</v>
      </c>
      <c r="I20" s="19">
        <f t="shared" si="4"/>
        <v>-6.5777726481161536E-2</v>
      </c>
      <c r="J20" s="10" t="s">
        <v>16</v>
      </c>
      <c r="K20" s="17">
        <f>IFERROR(IF(OR(1/3*K2+ 1/3*L2+1/3*M2),10%*K2+ 90%*L2+1/3*M2,""),"")</f>
        <v>6.2363630912868076E-2</v>
      </c>
      <c r="L20" s="15">
        <f>IFERROR(IF(OR(SQRT(10%^2*$K$3^2+90%^2*$L$3^2+2*10%*90%*$K$7*$K$3*$L$3)&lt;&gt;0, $K$2),SQRT(10%^2*$K$3^2+90%^2*$L$3^2+2*10%*90%*$K$7*$K$3*$L$3),""),"")</f>
        <v>0.18894333630294383</v>
      </c>
      <c r="M20" s="15"/>
      <c r="N20" s="12"/>
      <c r="O20" s="12"/>
    </row>
    <row r="21" spans="1:16" ht="28.8" x14ac:dyDescent="0.3">
      <c r="A21" s="39">
        <v>43586</v>
      </c>
      <c r="B21" s="36">
        <v>95.642403000000002</v>
      </c>
      <c r="C21" s="36">
        <v>12.343999999999999</v>
      </c>
      <c r="D21" s="36">
        <v>88.753501999999997</v>
      </c>
      <c r="E21" s="37">
        <v>2752.06</v>
      </c>
      <c r="F21" s="19">
        <f t="shared" si="5"/>
        <v>9.5001439894813133E-2</v>
      </c>
      <c r="G21" s="19">
        <f t="shared" si="2"/>
        <v>0.20684810434219059</v>
      </c>
      <c r="H21" s="19">
        <f t="shared" si="3"/>
        <v>6.6791741919096426E-2</v>
      </c>
      <c r="I21" s="19">
        <f t="shared" si="4"/>
        <v>6.8930183208214979E-2</v>
      </c>
      <c r="J21" s="32" t="s">
        <v>32</v>
      </c>
      <c r="K21" s="17">
        <v>0.1</v>
      </c>
      <c r="L21" s="15">
        <v>0.5</v>
      </c>
      <c r="M21" s="15">
        <v>0.4</v>
      </c>
      <c r="N21" s="12"/>
      <c r="O21" s="12"/>
    </row>
    <row r="22" spans="1:16" ht="28.8" x14ac:dyDescent="0.3">
      <c r="A22" s="39">
        <v>43617</v>
      </c>
      <c r="B22" s="36">
        <v>104.72856899999999</v>
      </c>
      <c r="C22" s="36">
        <v>14.897333</v>
      </c>
      <c r="D22" s="36">
        <v>94.681503000000006</v>
      </c>
      <c r="E22" s="37">
        <v>2941.76</v>
      </c>
      <c r="F22" s="19">
        <f t="shared" si="5"/>
        <v>-9.9555451769794967E-4</v>
      </c>
      <c r="G22" s="19">
        <f t="shared" si="2"/>
        <v>8.1222524864014156E-2</v>
      </c>
      <c r="H22" s="19">
        <f t="shared" si="3"/>
        <v>-1.4179179221521232E-2</v>
      </c>
      <c r="I22" s="19">
        <f t="shared" si="4"/>
        <v>1.3128195366039375E-2</v>
      </c>
      <c r="J22" s="31" t="s">
        <v>33</v>
      </c>
      <c r="K22" s="17">
        <f>IFERROR(IF(OR(K21*K2+ L21*L2+M21*M2),K21*K2+ L21*L2+M21*M2,""),"")</f>
        <v>3.8750435573900552E-2</v>
      </c>
      <c r="L22" s="15">
        <f>IFERROR(IF(OR(SQRT(K21^2*K3^2+L21^2*L3^2+M21^2*M3^2+2*K21*L21*K7*K3*L3+2*K21*M21*K8*K3*M3+2*L21*M21*L8*L3*M3)&lt;&gt;0,$K$2),SQRT(K21^2*K3^2+L21^2*L3^2+M21^2*M3^2+2*K21*L21*K7*K3*L3+2*K21*M21*K8*K3*M3+2*L21*M21*L8*L3*M3),""),"")</f>
        <v>0.12868777178217217</v>
      </c>
      <c r="M22" s="15"/>
      <c r="N22" s="12"/>
      <c r="O22" s="12"/>
    </row>
    <row r="23" spans="1:16" x14ac:dyDescent="0.3">
      <c r="A23" s="39">
        <v>43647</v>
      </c>
      <c r="B23" s="36">
        <v>104.624306</v>
      </c>
      <c r="C23" s="36">
        <v>16.107332</v>
      </c>
      <c r="D23" s="36">
        <v>93.338997000000006</v>
      </c>
      <c r="E23" s="37">
        <v>2980.38</v>
      </c>
      <c r="F23" s="19">
        <f t="shared" si="5"/>
        <v>3.515144941558801E-2</v>
      </c>
      <c r="G23" s="19">
        <f t="shared" si="2"/>
        <v>-6.6222326577734969E-2</v>
      </c>
      <c r="H23" s="19">
        <f t="shared" si="3"/>
        <v>-4.8473822790275012E-2</v>
      </c>
      <c r="I23" s="19">
        <f t="shared" si="4"/>
        <v>-1.8091652742267761E-2</v>
      </c>
      <c r="J23" s="7" t="s">
        <v>3</v>
      </c>
      <c r="K23" s="29"/>
      <c r="L23" s="30" t="s">
        <v>3</v>
      </c>
      <c r="M23" s="30"/>
      <c r="N23" s="14"/>
      <c r="O23" s="14"/>
    </row>
    <row r="24" spans="1:16" x14ac:dyDescent="0.3">
      <c r="A24" s="39">
        <v>43678</v>
      </c>
      <c r="B24" s="36">
        <v>108.302002</v>
      </c>
      <c r="C24" s="36">
        <v>15.040666999999999</v>
      </c>
      <c r="D24" s="36">
        <v>88.814498999999998</v>
      </c>
      <c r="E24" s="37">
        <v>2926.46</v>
      </c>
      <c r="F24" s="19">
        <f t="shared" si="5"/>
        <v>4.3796281808345494E-2</v>
      </c>
      <c r="G24" s="19">
        <f t="shared" si="2"/>
        <v>6.7638888621096571E-2</v>
      </c>
      <c r="H24" s="19">
        <f t="shared" si="3"/>
        <v>-2.2732740968341214E-2</v>
      </c>
      <c r="I24" s="19">
        <f t="shared" si="4"/>
        <v>1.7181167690656807E-2</v>
      </c>
    </row>
    <row r="25" spans="1:16" x14ac:dyDescent="0.3">
      <c r="A25" s="39">
        <v>43709</v>
      </c>
      <c r="B25" s="36">
        <v>113.045227</v>
      </c>
      <c r="C25" s="36">
        <v>16.058001000000001</v>
      </c>
      <c r="D25" s="36">
        <v>86.795501999999999</v>
      </c>
      <c r="E25" s="37">
        <v>2976.74</v>
      </c>
      <c r="F25" s="19">
        <f t="shared" si="5"/>
        <v>-1.1964786447816955E-2</v>
      </c>
      <c r="G25" s="19">
        <f t="shared" si="2"/>
        <v>0.3074271822501442</v>
      </c>
      <c r="H25" s="19">
        <f t="shared" si="3"/>
        <v>2.3474695727896178E-2</v>
      </c>
      <c r="I25" s="19">
        <f t="shared" si="4"/>
        <v>2.0431747482144935E-2</v>
      </c>
      <c r="J25" s="21"/>
      <c r="K25" s="20" t="s">
        <v>20</v>
      </c>
      <c r="L25" s="20" t="s">
        <v>21</v>
      </c>
      <c r="M25" s="20" t="s">
        <v>22</v>
      </c>
      <c r="N25" s="20" t="s">
        <v>34</v>
      </c>
      <c r="O25" s="20" t="s">
        <v>35</v>
      </c>
    </row>
    <row r="26" spans="1:16" x14ac:dyDescent="0.3">
      <c r="A26" s="39">
        <v>43739</v>
      </c>
      <c r="B26" s="36">
        <v>111.69266500000001</v>
      </c>
      <c r="C26" s="36">
        <v>20.994667</v>
      </c>
      <c r="D26" s="36">
        <v>88.832999999999998</v>
      </c>
      <c r="E26" s="37">
        <v>3037.56</v>
      </c>
      <c r="F26" s="19">
        <f t="shared" si="5"/>
        <v>1.560624415220091E-2</v>
      </c>
      <c r="G26" s="19">
        <f t="shared" si="2"/>
        <v>4.7694635975888522E-2</v>
      </c>
      <c r="H26" s="19">
        <f t="shared" si="3"/>
        <v>1.3587304267558276E-2</v>
      </c>
      <c r="I26" s="19">
        <f t="shared" si="4"/>
        <v>3.404706409091518E-2</v>
      </c>
      <c r="J26" s="20" t="s">
        <v>6</v>
      </c>
      <c r="K26" s="26">
        <f>IFERROR(IF(OR(SLOPE(F2:F61,$I$2:$I$61)),SLOPE(F2:F61,$I2:$I$61),""),"")</f>
        <v>0.50910886004227296</v>
      </c>
      <c r="L26" s="26">
        <f>IFERROR(IF(OR(SLOPE(G2:G61,$I$2:$I$61)),SLOPE(G2:G61,$I2:$I$61),""),"")</f>
        <v>2.1390437920592058</v>
      </c>
      <c r="M26" s="26">
        <f>IFERROR(IF(OR(SLOPE(H2:H61,$I$2:$I$61)),SLOPE(H2:H61,$I2:$I$61),""),"")</f>
        <v>1.3259920832484433</v>
      </c>
      <c r="N26" s="26">
        <f>IFERROR(IF(OR(SLOPE(I2:I61,$I$2:$I$61)),SLOPE(I2:I61,$I2:$I$61),""),"")</f>
        <v>1</v>
      </c>
      <c r="O26" s="33">
        <f>IFERROR(IF(OR(K21*K26+ L21*L26+M21*M26),K21*K26+ L21*L26+M21*M26,""),"")</f>
        <v>1.6508296153332076</v>
      </c>
    </row>
    <row r="27" spans="1:16" x14ac:dyDescent="0.3">
      <c r="A27" s="39">
        <v>43770</v>
      </c>
      <c r="B27" s="36">
        <v>113.435768</v>
      </c>
      <c r="C27" s="36">
        <v>21.995999999999999</v>
      </c>
      <c r="D27" s="36">
        <v>90.040001000000004</v>
      </c>
      <c r="E27" s="37">
        <v>3140.98</v>
      </c>
      <c r="F27" s="19">
        <f t="shared" si="5"/>
        <v>-2.099302576238582E-3</v>
      </c>
      <c r="G27" s="19">
        <f t="shared" si="2"/>
        <v>0.26789716312056755</v>
      </c>
      <c r="H27" s="19">
        <f t="shared" si="3"/>
        <v>2.6121690069728087E-2</v>
      </c>
      <c r="I27" s="19">
        <f t="shared" si="4"/>
        <v>2.8589803182446305E-2</v>
      </c>
    </row>
    <row r="28" spans="1:16" x14ac:dyDescent="0.3">
      <c r="A28" s="39">
        <v>43800</v>
      </c>
      <c r="B28" s="36">
        <v>113.197632</v>
      </c>
      <c r="C28" s="36">
        <v>27.888666000000001</v>
      </c>
      <c r="D28" s="36">
        <v>92.391998000000001</v>
      </c>
      <c r="E28" s="37">
        <v>3230.78</v>
      </c>
      <c r="F28" s="19">
        <f t="shared" si="5"/>
        <v>-3.2282654110644238E-2</v>
      </c>
      <c r="G28" s="19">
        <f t="shared" si="2"/>
        <v>0.55515986315014132</v>
      </c>
      <c r="H28" s="19">
        <f t="shared" si="3"/>
        <v>8.70638061101352E-2</v>
      </c>
      <c r="I28" s="19">
        <f t="shared" si="4"/>
        <v>-1.6280898111292741E-3</v>
      </c>
      <c r="J28" s="27" t="s">
        <v>12</v>
      </c>
      <c r="K28" s="28" t="s">
        <v>13</v>
      </c>
      <c r="L28" s="22">
        <v>0.02</v>
      </c>
    </row>
    <row r="29" spans="1:16" x14ac:dyDescent="0.3">
      <c r="A29" s="39">
        <v>43831</v>
      </c>
      <c r="B29" s="36">
        <v>109.543312</v>
      </c>
      <c r="C29" s="36">
        <v>43.371333999999997</v>
      </c>
      <c r="D29" s="36">
        <v>100.435997</v>
      </c>
      <c r="E29" s="37">
        <v>3225.52</v>
      </c>
      <c r="F29" s="19">
        <f t="shared" si="5"/>
        <v>-5.9480938462039501E-2</v>
      </c>
      <c r="G29" s="19">
        <f t="shared" si="2"/>
        <v>2.6776464841962389E-2</v>
      </c>
      <c r="H29" s="19">
        <f t="shared" si="3"/>
        <v>-6.2213720047006649E-2</v>
      </c>
      <c r="I29" s="19">
        <f t="shared" si="4"/>
        <v>-8.4110469009648137E-2</v>
      </c>
      <c r="J29" s="27" t="s">
        <v>3</v>
      </c>
      <c r="K29" s="28" t="s">
        <v>14</v>
      </c>
      <c r="L29" s="22">
        <v>0.08</v>
      </c>
    </row>
    <row r="30" spans="1:16" x14ac:dyDescent="0.3">
      <c r="A30" s="39">
        <v>43862</v>
      </c>
      <c r="B30" s="36">
        <v>103.027573</v>
      </c>
      <c r="C30" s="36">
        <v>44.532665000000001</v>
      </c>
      <c r="D30" s="36">
        <v>94.1875</v>
      </c>
      <c r="E30" s="37">
        <v>2954.22</v>
      </c>
      <c r="F30" s="19">
        <f t="shared" si="5"/>
        <v>5.5163310505237151E-2</v>
      </c>
      <c r="G30" s="19">
        <f t="shared" si="2"/>
        <v>-0.21555707478993225</v>
      </c>
      <c r="H30" s="19">
        <f t="shared" si="3"/>
        <v>3.5020570670205808E-2</v>
      </c>
      <c r="I30" s="19">
        <f t="shared" si="4"/>
        <v>-0.12511932083595656</v>
      </c>
      <c r="J30" s="35" t="s">
        <v>15</v>
      </c>
      <c r="K30" s="35"/>
      <c r="L30" s="35"/>
      <c r="M30" s="35"/>
      <c r="N30" s="35"/>
      <c r="O30" s="35"/>
      <c r="P30" s="23"/>
    </row>
    <row r="31" spans="1:16" x14ac:dyDescent="0.3">
      <c r="A31" s="39">
        <v>43891</v>
      </c>
      <c r="B31" s="36">
        <v>108.710915</v>
      </c>
      <c r="C31" s="36">
        <v>34.933334000000002</v>
      </c>
      <c r="D31" s="36">
        <v>97.486000000000004</v>
      </c>
      <c r="E31" s="37">
        <v>2584.59</v>
      </c>
      <c r="F31" s="19">
        <f t="shared" si="5"/>
        <v>7.4527769359682194E-2</v>
      </c>
      <c r="G31" s="19">
        <f t="shared" si="2"/>
        <v>0.49213733793631032</v>
      </c>
      <c r="H31" s="19">
        <f t="shared" si="3"/>
        <v>0.26890011899144484</v>
      </c>
      <c r="I31" s="19">
        <f t="shared" si="4"/>
        <v>0.12684410293315374</v>
      </c>
      <c r="J31" s="23"/>
      <c r="K31" s="24" t="s">
        <v>23</v>
      </c>
      <c r="L31" s="24" t="s">
        <v>24</v>
      </c>
      <c r="M31" s="24" t="s">
        <v>25</v>
      </c>
      <c r="N31" s="24" t="s">
        <v>8</v>
      </c>
      <c r="O31" s="24" t="s">
        <v>9</v>
      </c>
      <c r="P31" s="24" t="s">
        <v>36</v>
      </c>
    </row>
    <row r="32" spans="1:16" x14ac:dyDescent="0.3">
      <c r="A32" s="39">
        <v>43922</v>
      </c>
      <c r="B32" s="36">
        <v>116.81289700000001</v>
      </c>
      <c r="C32" s="36">
        <v>52.125332</v>
      </c>
      <c r="D32" s="36">
        <v>123.699997</v>
      </c>
      <c r="E32" s="37">
        <v>2912.43</v>
      </c>
      <c r="F32" s="19">
        <f t="shared" si="5"/>
        <v>2.0649731852810715E-2</v>
      </c>
      <c r="G32" s="19">
        <f t="shared" si="2"/>
        <v>6.7938867036856587E-2</v>
      </c>
      <c r="H32" s="19">
        <f t="shared" si="3"/>
        <v>-1.2784939679505447E-2</v>
      </c>
      <c r="I32" s="19">
        <f t="shared" si="4"/>
        <v>4.528177501261843E-2</v>
      </c>
      <c r="J32" s="24" t="s">
        <v>6</v>
      </c>
      <c r="K32" s="25">
        <f>IFERROR(IF(OR(K26),K26,""),"")</f>
        <v>0.50910886004227296</v>
      </c>
      <c r="L32" s="25">
        <f t="shared" ref="L32:M32" si="6">IFERROR(IF(OR(L26),L26,""),"")</f>
        <v>2.1390437920592058</v>
      </c>
      <c r="M32" s="25">
        <f t="shared" si="6"/>
        <v>1.3259920832484433</v>
      </c>
      <c r="N32" s="25">
        <v>0</v>
      </c>
      <c r="O32" s="25">
        <v>1</v>
      </c>
      <c r="P32" s="25">
        <f>IFERROR(IF(OR(O26),O26,""),"")</f>
        <v>1.6508296153332076</v>
      </c>
    </row>
    <row r="33" spans="1:16" x14ac:dyDescent="0.3">
      <c r="A33" s="39">
        <v>43952</v>
      </c>
      <c r="B33" s="36">
        <v>119.22505200000001</v>
      </c>
      <c r="C33" s="36">
        <v>55.666668000000001</v>
      </c>
      <c r="D33" s="36">
        <v>122.1185</v>
      </c>
      <c r="E33" s="37">
        <v>3044.31</v>
      </c>
      <c r="F33" s="19">
        <f t="shared" si="5"/>
        <v>-3.025219062181661E-2</v>
      </c>
      <c r="G33" s="19">
        <f t="shared" si="2"/>
        <v>0.29318562770812862</v>
      </c>
      <c r="H33" s="19">
        <f t="shared" si="3"/>
        <v>0.12956672412451842</v>
      </c>
      <c r="I33" s="19">
        <f t="shared" si="4"/>
        <v>1.8388403283502663E-2</v>
      </c>
      <c r="J33" s="24" t="s">
        <v>7</v>
      </c>
      <c r="K33" s="17">
        <f>IFERROR(IF(OR($L$28+K26*($L$29-$L$28)),$L28+K26*($L$29-$L$28),""),"")</f>
        <v>5.0546531602536374E-2</v>
      </c>
      <c r="L33" s="17">
        <f t="shared" ref="L33:M33" si="7">IFERROR(IF(OR($L$28+L26*($L$29-$L$28)),$L28+L26*($L$29-$L$28),""),"")</f>
        <v>0.14834262752355235</v>
      </c>
      <c r="M33" s="17">
        <f t="shared" si="7"/>
        <v>9.9559524994906598E-2</v>
      </c>
      <c r="N33" s="17">
        <f>IFERROR(IF(OR($L$28+N32*($L$29-$L$28)),$L28+N32*($L$29-$L$28),""),"")</f>
        <v>0.02</v>
      </c>
      <c r="O33" s="17">
        <f>IFERROR(IF(OR($L$28+O32*($L$29-$L$28)),$L28+O32*($L$29-$L$28),""),"")</f>
        <v>0.08</v>
      </c>
      <c r="P33" s="17">
        <f>IFERROR(IF(OR($L$28+O26*($L$29-$L$28)),$L28+O26*($L$29-$L$28),""),"")</f>
        <v>0.11904977691999245</v>
      </c>
    </row>
    <row r="34" spans="1:16" x14ac:dyDescent="0.3">
      <c r="A34" s="39">
        <v>43983</v>
      </c>
      <c r="B34" s="36">
        <v>115.618233</v>
      </c>
      <c r="C34" s="36">
        <v>71.987335000000002</v>
      </c>
      <c r="D34" s="36">
        <v>137.94099399999999</v>
      </c>
      <c r="E34" s="37">
        <v>3100.29</v>
      </c>
      <c r="F34" s="19">
        <f t="shared" si="5"/>
        <v>8.0313768503969429E-2</v>
      </c>
      <c r="G34" s="19">
        <f t="shared" si="2"/>
        <v>0.32501089254102822</v>
      </c>
      <c r="H34" s="19">
        <f t="shared" si="3"/>
        <v>0.14711362743986034</v>
      </c>
      <c r="I34" s="19">
        <f t="shared" si="4"/>
        <v>5.5101296975444303E-2</v>
      </c>
    </row>
    <row r="35" spans="1:16" x14ac:dyDescent="0.3">
      <c r="A35" s="39">
        <v>44013</v>
      </c>
      <c r="B35" s="36">
        <v>124.903969</v>
      </c>
      <c r="C35" s="36">
        <v>95.384003000000007</v>
      </c>
      <c r="D35" s="36">
        <v>158.233994</v>
      </c>
      <c r="E35" s="37">
        <v>3271.12</v>
      </c>
      <c r="F35" s="19">
        <f t="shared" si="5"/>
        <v>7.3029672900146281E-2</v>
      </c>
      <c r="G35" s="19">
        <f t="shared" si="2"/>
        <v>0.74145211750024775</v>
      </c>
      <c r="H35" s="19">
        <f t="shared" si="3"/>
        <v>9.0461029505455093E-2</v>
      </c>
      <c r="I35" s="19">
        <f t="shared" si="4"/>
        <v>7.0064687324219221E-2</v>
      </c>
    </row>
    <row r="36" spans="1:16" x14ac:dyDescent="0.3">
      <c r="A36" s="39">
        <v>44044</v>
      </c>
      <c r="B36" s="36">
        <v>134.025665</v>
      </c>
      <c r="C36" s="36">
        <v>166.106674</v>
      </c>
      <c r="D36" s="36">
        <v>172.54800399999999</v>
      </c>
      <c r="E36" s="37">
        <v>3500.31</v>
      </c>
      <c r="F36" s="19">
        <f t="shared" si="5"/>
        <v>1.1776505641661883E-2</v>
      </c>
      <c r="G36" s="19">
        <f t="shared" si="2"/>
        <v>-0.13908741559655824</v>
      </c>
      <c r="H36" s="19">
        <f t="shared" si="3"/>
        <v>-8.7578590593258787E-2</v>
      </c>
      <c r="I36" s="19">
        <f t="shared" si="4"/>
        <v>-3.9227954095494399E-2</v>
      </c>
    </row>
    <row r="37" spans="1:16" x14ac:dyDescent="0.3">
      <c r="A37" s="39">
        <v>44075</v>
      </c>
      <c r="B37" s="36">
        <v>135.60401899999999</v>
      </c>
      <c r="C37" s="36">
        <v>143.00332599999999</v>
      </c>
      <c r="D37" s="36">
        <v>157.43649300000001</v>
      </c>
      <c r="E37" s="37">
        <v>3363</v>
      </c>
      <c r="F37" s="19">
        <f t="shared" si="5"/>
        <v>-8.2910374507408902E-3</v>
      </c>
      <c r="G37" s="19">
        <f t="shared" si="2"/>
        <v>-9.5498911682655452E-2</v>
      </c>
      <c r="H37" s="19">
        <f t="shared" si="3"/>
        <v>-3.5754086570005228E-2</v>
      </c>
      <c r="I37" s="19">
        <f t="shared" si="4"/>
        <v>-2.7665774606006499E-2</v>
      </c>
    </row>
    <row r="38" spans="1:16" x14ac:dyDescent="0.3">
      <c r="A38" s="39">
        <v>44105</v>
      </c>
      <c r="B38" s="36">
        <v>134.47972100000001</v>
      </c>
      <c r="C38" s="36">
        <v>129.346664</v>
      </c>
      <c r="D38" s="36">
        <v>151.80749499999999</v>
      </c>
      <c r="E38" s="37">
        <v>3269.96</v>
      </c>
      <c r="F38" s="19">
        <f t="shared" si="5"/>
        <v>0.10118908560198459</v>
      </c>
      <c r="G38" s="19">
        <f t="shared" si="2"/>
        <v>0.46273580739585207</v>
      </c>
      <c r="H38" s="19">
        <f t="shared" si="3"/>
        <v>4.3439871002416641E-2</v>
      </c>
      <c r="I38" s="19">
        <f t="shared" si="4"/>
        <v>0.10754565805086314</v>
      </c>
    </row>
    <row r="39" spans="1:16" x14ac:dyDescent="0.3">
      <c r="A39" s="39">
        <v>44136</v>
      </c>
      <c r="B39" s="36">
        <v>148.08760100000001</v>
      </c>
      <c r="C39" s="36">
        <v>189.199997</v>
      </c>
      <c r="D39" s="36">
        <v>158.401993</v>
      </c>
      <c r="E39" s="37">
        <v>3621.63</v>
      </c>
      <c r="F39" s="19">
        <f t="shared" si="5"/>
        <v>-5.6548285902747519E-2</v>
      </c>
      <c r="G39" s="19">
        <f t="shared" si="2"/>
        <v>0.2432522818697509</v>
      </c>
      <c r="H39" s="19">
        <f t="shared" si="3"/>
        <v>2.8058384341161702E-2</v>
      </c>
      <c r="I39" s="19">
        <f t="shared" si="4"/>
        <v>3.712140665943231E-2</v>
      </c>
    </row>
    <row r="40" spans="1:16" x14ac:dyDescent="0.3">
      <c r="A40" s="39">
        <v>44166</v>
      </c>
      <c r="B40" s="36">
        <v>139.71350100000001</v>
      </c>
      <c r="C40" s="36">
        <v>235.22332800000001</v>
      </c>
      <c r="D40" s="36">
        <v>162.846497</v>
      </c>
      <c r="E40" s="37">
        <v>3756.07</v>
      </c>
      <c r="F40" s="19">
        <f t="shared" si="5"/>
        <v>-2.1827568403715025E-2</v>
      </c>
      <c r="G40" s="19">
        <f t="shared" si="2"/>
        <v>0.12450585683406379</v>
      </c>
      <c r="H40" s="19">
        <f t="shared" si="3"/>
        <v>-1.5576012052626376E-2</v>
      </c>
      <c r="I40" s="19">
        <f t="shared" si="4"/>
        <v>-1.1136640158463607E-2</v>
      </c>
      <c r="K40" s="22"/>
    </row>
    <row r="41" spans="1:16" x14ac:dyDescent="0.3">
      <c r="A41" s="39">
        <v>44197</v>
      </c>
      <c r="B41" s="36">
        <v>136.663895</v>
      </c>
      <c r="C41" s="36">
        <v>264.51001000000002</v>
      </c>
      <c r="D41" s="36">
        <v>160.30999800000001</v>
      </c>
      <c r="E41" s="37">
        <v>3714.24</v>
      </c>
      <c r="F41" s="19">
        <f t="shared" si="5"/>
        <v>-7.5236608761955703E-2</v>
      </c>
      <c r="G41" s="19">
        <f t="shared" si="2"/>
        <v>-0.14874045031414884</v>
      </c>
      <c r="H41" s="19">
        <f t="shared" si="3"/>
        <v>-3.5328414139210507E-2</v>
      </c>
      <c r="I41" s="19">
        <f t="shared" si="4"/>
        <v>2.6091474971999817E-2</v>
      </c>
      <c r="K41" s="22"/>
    </row>
    <row r="42" spans="1:16" x14ac:dyDescent="0.3">
      <c r="A42" s="39">
        <v>44228</v>
      </c>
      <c r="B42" s="36">
        <v>126.381767</v>
      </c>
      <c r="C42" s="36">
        <v>225.16667200000001</v>
      </c>
      <c r="D42" s="36">
        <v>154.6465</v>
      </c>
      <c r="E42" s="37">
        <v>3811.15</v>
      </c>
      <c r="F42" s="19">
        <f t="shared" si="5"/>
        <v>4.5489401964129872E-2</v>
      </c>
      <c r="G42" s="19">
        <f t="shared" si="2"/>
        <v>-1.1206569682745915E-2</v>
      </c>
      <c r="H42" s="19">
        <f t="shared" si="3"/>
        <v>3.7178338985999204E-4</v>
      </c>
      <c r="I42" s="19">
        <f t="shared" si="4"/>
        <v>4.2438634008107767E-2</v>
      </c>
    </row>
    <row r="43" spans="1:16" x14ac:dyDescent="0.3">
      <c r="A43" s="39">
        <v>44256</v>
      </c>
      <c r="B43" s="36">
        <v>132.130798</v>
      </c>
      <c r="C43" s="36">
        <v>222.643326</v>
      </c>
      <c r="D43" s="36">
        <v>154.70399499999999</v>
      </c>
      <c r="E43" s="37">
        <v>3972.89</v>
      </c>
      <c r="F43" s="19">
        <f t="shared" si="5"/>
        <v>3.4338247166266322E-2</v>
      </c>
      <c r="G43" s="19">
        <f t="shared" si="2"/>
        <v>6.2147248015869128E-2</v>
      </c>
      <c r="H43" s="19">
        <f t="shared" si="3"/>
        <v>0.12066273401666194</v>
      </c>
      <c r="I43" s="19">
        <f t="shared" si="4"/>
        <v>5.242531255584737E-2</v>
      </c>
    </row>
    <row r="44" spans="1:16" x14ac:dyDescent="0.3">
      <c r="A44" s="39">
        <v>44287</v>
      </c>
      <c r="B44" s="36">
        <v>136.66793799999999</v>
      </c>
      <c r="C44" s="36">
        <v>236.479996</v>
      </c>
      <c r="D44" s="36">
        <v>173.371002</v>
      </c>
      <c r="E44" s="37">
        <v>4181.17</v>
      </c>
      <c r="F44" s="19">
        <f t="shared" si="5"/>
        <v>1.5152398070131134E-2</v>
      </c>
      <c r="G44" s="19">
        <f t="shared" si="2"/>
        <v>-0.11871335620286461</v>
      </c>
      <c r="H44" s="19">
        <f t="shared" si="3"/>
        <v>-7.0470256611887216E-2</v>
      </c>
      <c r="I44" s="19">
        <f t="shared" si="4"/>
        <v>5.4865025818131574E-3</v>
      </c>
    </row>
    <row r="45" spans="1:16" x14ac:dyDescent="0.3">
      <c r="A45" s="39">
        <v>44317</v>
      </c>
      <c r="B45" s="36">
        <v>138.73878500000001</v>
      </c>
      <c r="C45" s="36">
        <v>208.40666200000001</v>
      </c>
      <c r="D45" s="36">
        <v>161.153503</v>
      </c>
      <c r="E45" s="37">
        <v>4204.1099999999997</v>
      </c>
      <c r="F45" s="19">
        <f t="shared" si="5"/>
        <v>-3.211812760216981E-3</v>
      </c>
      <c r="G45" s="19">
        <f t="shared" si="2"/>
        <v>8.7137348805097048E-2</v>
      </c>
      <c r="H45" s="19">
        <f t="shared" si="3"/>
        <v>6.7354992587409068E-2</v>
      </c>
      <c r="I45" s="19">
        <f t="shared" si="4"/>
        <v>2.221397632316946E-2</v>
      </c>
    </row>
    <row r="46" spans="1:16" x14ac:dyDescent="0.3">
      <c r="A46" s="39">
        <v>44348</v>
      </c>
      <c r="B46" s="36">
        <v>138.293182</v>
      </c>
      <c r="C46" s="36">
        <v>226.566666</v>
      </c>
      <c r="D46" s="36">
        <v>172.00799599999999</v>
      </c>
      <c r="E46" s="37">
        <v>4297.5</v>
      </c>
      <c r="F46" s="19">
        <f t="shared" si="5"/>
        <v>1.0849616577627064E-2</v>
      </c>
      <c r="G46" s="19">
        <f t="shared" si="2"/>
        <v>1.1034279861804608E-2</v>
      </c>
      <c r="H46" s="19">
        <f t="shared" si="3"/>
        <v>-3.2722286933684064E-2</v>
      </c>
      <c r="I46" s="19">
        <f t="shared" si="4"/>
        <v>2.274810936591054E-2</v>
      </c>
    </row>
    <row r="47" spans="1:16" x14ac:dyDescent="0.3">
      <c r="A47" s="39">
        <v>44378</v>
      </c>
      <c r="B47" s="36">
        <v>139.79361</v>
      </c>
      <c r="C47" s="36">
        <v>229.066666</v>
      </c>
      <c r="D47" s="36">
        <v>166.379501</v>
      </c>
      <c r="E47" s="37">
        <v>4395.26</v>
      </c>
      <c r="F47" s="19">
        <f t="shared" si="5"/>
        <v>3.8933846833199226E-2</v>
      </c>
      <c r="G47" s="19">
        <f t="shared" si="2"/>
        <v>7.0605380007582541E-2</v>
      </c>
      <c r="H47" s="19">
        <f t="shared" si="3"/>
        <v>4.3034171619495298E-2</v>
      </c>
      <c r="I47" s="19">
        <f t="shared" si="4"/>
        <v>2.8990321391681118E-2</v>
      </c>
    </row>
    <row r="48" spans="1:16" x14ac:dyDescent="0.3">
      <c r="A48" s="39">
        <v>44409</v>
      </c>
      <c r="B48" s="36">
        <v>145.236313</v>
      </c>
      <c r="C48" s="36">
        <v>245.240005</v>
      </c>
      <c r="D48" s="36">
        <v>173.53950499999999</v>
      </c>
      <c r="E48" s="37">
        <v>4522.68</v>
      </c>
      <c r="F48" s="19">
        <f t="shared" si="5"/>
        <v>-5.5416003296641092E-2</v>
      </c>
      <c r="G48" s="19">
        <f t="shared" si="2"/>
        <v>5.4042332938298632E-2</v>
      </c>
      <c r="H48" s="19">
        <f t="shared" si="3"/>
        <v>-5.3518108167935452E-2</v>
      </c>
      <c r="I48" s="19">
        <f t="shared" si="4"/>
        <v>-4.7569140421166334E-2</v>
      </c>
    </row>
    <row r="49" spans="1:9" x14ac:dyDescent="0.3">
      <c r="A49" s="39">
        <v>44440</v>
      </c>
      <c r="B49" s="36">
        <v>137.18789699999999</v>
      </c>
      <c r="C49" s="36">
        <v>258.49334700000003</v>
      </c>
      <c r="D49" s="36">
        <v>164.25199900000001</v>
      </c>
      <c r="E49" s="37">
        <v>4307.54</v>
      </c>
      <c r="F49" s="19">
        <f t="shared" si="5"/>
        <v>7.2033176512648289E-2</v>
      </c>
      <c r="G49" s="19">
        <f t="shared" si="2"/>
        <v>0.43652959857415574</v>
      </c>
      <c r="H49" s="19">
        <f t="shared" si="3"/>
        <v>2.6602458579514821E-2</v>
      </c>
      <c r="I49" s="19">
        <f t="shared" si="4"/>
        <v>6.9143873301234615E-2</v>
      </c>
    </row>
    <row r="50" spans="1:9" x14ac:dyDescent="0.3">
      <c r="A50" s="39">
        <v>44470</v>
      </c>
      <c r="B50" s="36">
        <v>147.06997699999999</v>
      </c>
      <c r="C50" s="36">
        <v>371.33334400000001</v>
      </c>
      <c r="D50" s="36">
        <v>168.62150600000001</v>
      </c>
      <c r="E50" s="37">
        <v>4605.38</v>
      </c>
      <c r="F50" s="19">
        <f t="shared" si="5"/>
        <v>-5.8827329523550631E-2</v>
      </c>
      <c r="G50" s="19">
        <f t="shared" si="2"/>
        <v>2.7612187716705705E-2</v>
      </c>
      <c r="H50" s="19">
        <f t="shared" si="3"/>
        <v>3.9923697514598011E-2</v>
      </c>
      <c r="I50" s="19">
        <f t="shared" si="4"/>
        <v>-8.3337314184714906E-3</v>
      </c>
    </row>
    <row r="51" spans="1:9" x14ac:dyDescent="0.3">
      <c r="A51" s="39">
        <v>44501</v>
      </c>
      <c r="B51" s="36">
        <v>138.41824299999999</v>
      </c>
      <c r="C51" s="36">
        <v>381.58667000000003</v>
      </c>
      <c r="D51" s="36">
        <v>175.3535</v>
      </c>
      <c r="E51" s="37">
        <v>4567</v>
      </c>
      <c r="F51" s="19">
        <f t="shared" si="5"/>
        <v>2.8869930100182017E-2</v>
      </c>
      <c r="G51" s="19">
        <f t="shared" si="2"/>
        <v>-7.6854519053299208E-2</v>
      </c>
      <c r="H51" s="19">
        <f t="shared" si="3"/>
        <v>-4.9251968167159488E-2</v>
      </c>
      <c r="I51" s="19">
        <f t="shared" si="4"/>
        <v>4.3612874972629889E-2</v>
      </c>
    </row>
    <row r="52" spans="1:9" x14ac:dyDescent="0.3">
      <c r="A52" s="39">
        <v>44531</v>
      </c>
      <c r="B52" s="36">
        <v>142.414368</v>
      </c>
      <c r="C52" s="36">
        <v>352.26001000000002</v>
      </c>
      <c r="D52" s="36">
        <v>166.716995</v>
      </c>
      <c r="E52" s="37">
        <v>4766.18</v>
      </c>
      <c r="F52" s="19">
        <f t="shared" si="5"/>
        <v>-2.9836708610749163E-2</v>
      </c>
      <c r="G52" s="19">
        <f t="shared" si="2"/>
        <v>-0.11360931943424413</v>
      </c>
      <c r="H52" s="19">
        <f t="shared" si="3"/>
        <v>-0.10282990645314838</v>
      </c>
      <c r="I52" s="19">
        <f t="shared" si="4"/>
        <v>-5.2585089106999772E-2</v>
      </c>
    </row>
    <row r="53" spans="1:9" x14ac:dyDescent="0.3">
      <c r="A53" s="39">
        <v>44562</v>
      </c>
      <c r="B53" s="36">
        <v>138.16519199999999</v>
      </c>
      <c r="C53" s="36">
        <v>312.23998999999998</v>
      </c>
      <c r="D53" s="36">
        <v>149.57350199999999</v>
      </c>
      <c r="E53" s="37">
        <v>4515.55</v>
      </c>
      <c r="F53" s="19">
        <f t="shared" si="5"/>
        <v>-3.3259397200417928E-2</v>
      </c>
      <c r="G53" s="19">
        <f t="shared" si="2"/>
        <v>-7.0768158172180184E-2</v>
      </c>
      <c r="H53" s="19">
        <f t="shared" si="3"/>
        <v>2.6672518505316711E-2</v>
      </c>
      <c r="I53" s="19">
        <f t="shared" si="4"/>
        <v>-3.1360520866782648E-2</v>
      </c>
    </row>
    <row r="54" spans="1:9" x14ac:dyDescent="0.3">
      <c r="A54" s="39">
        <v>44593</v>
      </c>
      <c r="B54" s="36">
        <v>133.56990099999999</v>
      </c>
      <c r="C54" s="36">
        <v>290.14334100000002</v>
      </c>
      <c r="D54" s="36">
        <v>153.56300400000001</v>
      </c>
      <c r="E54" s="37">
        <v>4373.9399999999996</v>
      </c>
      <c r="F54" s="19">
        <f t="shared" si="5"/>
        <v>0.10180522631367395</v>
      </c>
      <c r="G54" s="19">
        <f t="shared" si="2"/>
        <v>0.2380088088942216</v>
      </c>
      <c r="H54" s="19">
        <f t="shared" si="3"/>
        <v>6.1437284725167185E-2</v>
      </c>
      <c r="I54" s="19">
        <f t="shared" si="4"/>
        <v>3.5773238773280092E-2</v>
      </c>
    </row>
    <row r="55" spans="1:9" x14ac:dyDescent="0.3">
      <c r="A55" s="39">
        <v>44621</v>
      </c>
      <c r="B55" s="36">
        <v>147.168015</v>
      </c>
      <c r="C55" s="36">
        <v>359.20001200000002</v>
      </c>
      <c r="D55" s="36">
        <v>162.99749800000001</v>
      </c>
      <c r="E55" s="37">
        <v>4530.41</v>
      </c>
      <c r="F55" s="19">
        <f t="shared" si="5"/>
        <v>3.1303588622840328E-2</v>
      </c>
      <c r="G55" s="19">
        <f t="shared" si="2"/>
        <v>-0.19194511051408314</v>
      </c>
      <c r="H55" s="19">
        <f t="shared" si="3"/>
        <v>-0.23752509379009001</v>
      </c>
      <c r="I55" s="19">
        <f t="shared" si="4"/>
        <v>-8.7956719149039353E-2</v>
      </c>
    </row>
    <row r="56" spans="1:9" x14ac:dyDescent="0.3">
      <c r="A56" s="39">
        <v>44652</v>
      </c>
      <c r="B56" s="36">
        <v>151.774902</v>
      </c>
      <c r="C56" s="36">
        <v>290.25332600000002</v>
      </c>
      <c r="D56" s="36">
        <v>124.281502</v>
      </c>
      <c r="E56" s="37">
        <v>4131.93</v>
      </c>
      <c r="F56" s="19">
        <f t="shared" si="5"/>
        <v>-0.15922610182281649</v>
      </c>
      <c r="G56" s="19">
        <f t="shared" si="2"/>
        <v>-0.12919748592303826</v>
      </c>
      <c r="H56" s="19">
        <f t="shared" si="3"/>
        <v>-3.2764320791681456E-2</v>
      </c>
      <c r="I56" s="19">
        <f t="shared" si="4"/>
        <v>5.3243883608722342E-5</v>
      </c>
    </row>
    <row r="57" spans="1:9" x14ac:dyDescent="0.3">
      <c r="A57" s="39">
        <v>44682</v>
      </c>
      <c r="B57" s="36">
        <v>127.60837600000001</v>
      </c>
      <c r="C57" s="36">
        <v>252.75332599999999</v>
      </c>
      <c r="D57" s="36">
        <v>120.209503</v>
      </c>
      <c r="E57" s="37">
        <v>4132.1499999999996</v>
      </c>
      <c r="F57" s="19">
        <f t="shared" si="5"/>
        <v>-5.1372709264789984E-2</v>
      </c>
      <c r="G57" s="19">
        <f t="shared" si="2"/>
        <v>-0.11188773832396559</v>
      </c>
      <c r="H57" s="19">
        <f t="shared" si="3"/>
        <v>-0.11645921204748677</v>
      </c>
      <c r="I57" s="19">
        <f t="shared" si="4"/>
        <v>-8.3919993223866451E-2</v>
      </c>
    </row>
    <row r="58" spans="1:9" x14ac:dyDescent="0.3">
      <c r="A58" s="39">
        <v>44713</v>
      </c>
      <c r="B58" s="36">
        <v>121.05278800000001</v>
      </c>
      <c r="C58" s="36">
        <v>224.47332800000001</v>
      </c>
      <c r="D58" s="36">
        <v>106.209999</v>
      </c>
      <c r="E58" s="37">
        <v>3785.38</v>
      </c>
      <c r="F58" s="19">
        <f t="shared" si="5"/>
        <v>8.6116133070805345E-2</v>
      </c>
      <c r="G58" s="19">
        <f t="shared" si="2"/>
        <v>0.32376526265962413</v>
      </c>
      <c r="H58" s="19">
        <f t="shared" si="3"/>
        <v>0.27059597279536751</v>
      </c>
      <c r="I58" s="19">
        <f t="shared" si="4"/>
        <v>9.1116347632205885E-2</v>
      </c>
    </row>
    <row r="59" spans="1:9" x14ac:dyDescent="0.3">
      <c r="A59" s="39">
        <v>44743</v>
      </c>
      <c r="B59" s="36">
        <v>131.477386</v>
      </c>
      <c r="C59" s="36">
        <v>297.14999399999999</v>
      </c>
      <c r="D59" s="36">
        <v>134.949997</v>
      </c>
      <c r="E59" s="37">
        <v>4130.29</v>
      </c>
      <c r="F59" s="19">
        <f t="shared" si="5"/>
        <v>3.7864610420532685E-3</v>
      </c>
      <c r="G59" s="19">
        <f t="shared" si="2"/>
        <v>-7.2488673851361374E-2</v>
      </c>
      <c r="H59" s="19">
        <f t="shared" si="3"/>
        <v>-6.0615043955873471E-2</v>
      </c>
      <c r="I59" s="19">
        <f t="shared" si="4"/>
        <v>-4.2440119216810457E-2</v>
      </c>
    </row>
    <row r="60" spans="1:9" x14ac:dyDescent="0.3">
      <c r="A60" s="39">
        <v>44774</v>
      </c>
      <c r="B60" s="36">
        <v>131.97522000000001</v>
      </c>
      <c r="C60" s="36">
        <v>275.60998499999999</v>
      </c>
      <c r="D60" s="36">
        <v>126.769997</v>
      </c>
      <c r="E60" s="37">
        <v>3955</v>
      </c>
      <c r="F60" s="19">
        <f t="shared" si="5"/>
        <v>-5.0405068466641278E-3</v>
      </c>
      <c r="G60" s="19">
        <f t="shared" si="2"/>
        <v>1.4514169361463658E-3</v>
      </c>
      <c r="H60" s="19">
        <f t="shared" si="3"/>
        <v>-9.1662027885036523E-2</v>
      </c>
      <c r="I60" s="19">
        <f t="shared" si="4"/>
        <v>-7.5843236409608106E-2</v>
      </c>
    </row>
    <row r="61" spans="1:9" x14ac:dyDescent="0.3">
      <c r="A61" s="39">
        <v>44805</v>
      </c>
      <c r="B61" s="36">
        <v>131.30999800000001</v>
      </c>
      <c r="C61" s="36">
        <v>276.01001000000002</v>
      </c>
      <c r="D61" s="36">
        <v>115.150002</v>
      </c>
      <c r="E61" s="37">
        <v>3655.04</v>
      </c>
      <c r="F61" s="19" t="s">
        <v>3</v>
      </c>
      <c r="G61" s="19" t="s">
        <v>3</v>
      </c>
      <c r="H61" s="19" t="s">
        <v>3</v>
      </c>
      <c r="I61" s="19" t="s">
        <v>3</v>
      </c>
    </row>
  </sheetData>
  <mergeCells count="3">
    <mergeCell ref="K10:L10"/>
    <mergeCell ref="J30:O30"/>
    <mergeCell ref="K18:L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return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maggie</cp:lastModifiedBy>
  <dcterms:created xsi:type="dcterms:W3CDTF">2017-04-20T20:05:01Z</dcterms:created>
  <dcterms:modified xsi:type="dcterms:W3CDTF">2022-10-04T04:06:55Z</dcterms:modified>
</cp:coreProperties>
</file>