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n509 fall 2022 fall\"/>
    </mc:Choice>
  </mc:AlternateContent>
  <xr:revisionPtr revIDLastSave="0" documentId="8_{50226E9A-E079-4D08-BA29-07B2704C1C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isk return template" sheetId="1" r:id="rId1"/>
  </sheets>
  <definedNames>
    <definedName name="CIQWBGuid" hidden="1">"6e588447-3adb-4151-b5b6-dc1c1b23ae5f"</definedName>
    <definedName name="CIQWBInfo" hidden="1">"{ ""CIQVersion"":""9.45.614.5792"" }"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S3" i="1"/>
  <c r="T3" i="1"/>
  <c r="R4" i="1"/>
  <c r="S4" i="1"/>
  <c r="T4" i="1"/>
  <c r="R5" i="1"/>
  <c r="S5" i="1"/>
  <c r="T5" i="1"/>
  <c r="R6" i="1"/>
  <c r="S6" i="1"/>
  <c r="T6" i="1"/>
  <c r="R7" i="1"/>
  <c r="S7" i="1"/>
  <c r="T7" i="1"/>
  <c r="R8" i="1"/>
  <c r="S8" i="1"/>
  <c r="T8" i="1"/>
  <c r="R9" i="1"/>
  <c r="S9" i="1"/>
  <c r="T9" i="1"/>
  <c r="R10" i="1"/>
  <c r="S10" i="1"/>
  <c r="T10" i="1"/>
  <c r="R11" i="1"/>
  <c r="S11" i="1"/>
  <c r="T11" i="1"/>
  <c r="R12" i="1"/>
  <c r="S12" i="1"/>
  <c r="T12" i="1"/>
  <c r="R13" i="1"/>
  <c r="S13" i="1"/>
  <c r="T13" i="1"/>
  <c r="R14" i="1"/>
  <c r="S14" i="1"/>
  <c r="T14" i="1"/>
  <c r="R15" i="1"/>
  <c r="S15" i="1"/>
  <c r="T15" i="1"/>
  <c r="R16" i="1"/>
  <c r="S16" i="1"/>
  <c r="T16" i="1"/>
  <c r="R17" i="1"/>
  <c r="S17" i="1"/>
  <c r="T17" i="1"/>
  <c r="T2" i="1"/>
  <c r="S2" i="1"/>
  <c r="R2" i="1"/>
  <c r="Q33" i="1" l="1"/>
  <c r="N33" i="1"/>
  <c r="M33" i="1"/>
  <c r="L33" i="1"/>
  <c r="L26" i="1"/>
  <c r="P26" i="1" s="1"/>
  <c r="N26" i="1"/>
  <c r="M26" i="1"/>
  <c r="F3" i="1"/>
  <c r="G3" i="1"/>
  <c r="H3" i="1"/>
  <c r="I3" i="1"/>
  <c r="F4" i="1"/>
  <c r="G4" i="1"/>
  <c r="H4" i="1"/>
  <c r="I4" i="1"/>
  <c r="F5" i="1"/>
  <c r="G5" i="1"/>
  <c r="H5" i="1"/>
  <c r="I5" i="1"/>
  <c r="F6" i="1"/>
  <c r="G6" i="1"/>
  <c r="H6" i="1"/>
  <c r="I6" i="1"/>
  <c r="F7" i="1"/>
  <c r="G7" i="1"/>
  <c r="H7" i="1"/>
  <c r="I7" i="1"/>
  <c r="F8" i="1"/>
  <c r="G8" i="1"/>
  <c r="H8" i="1"/>
  <c r="I8" i="1"/>
  <c r="F9" i="1"/>
  <c r="G9" i="1"/>
  <c r="H9" i="1"/>
  <c r="I9" i="1"/>
  <c r="F10" i="1"/>
  <c r="G10" i="1"/>
  <c r="H10" i="1"/>
  <c r="I10" i="1"/>
  <c r="F11" i="1"/>
  <c r="G11" i="1"/>
  <c r="H11" i="1"/>
  <c r="I11" i="1"/>
  <c r="F12" i="1"/>
  <c r="G12" i="1"/>
  <c r="H12" i="1"/>
  <c r="I12" i="1"/>
  <c r="F13" i="1"/>
  <c r="G13" i="1"/>
  <c r="H13" i="1"/>
  <c r="I13" i="1"/>
  <c r="F14" i="1"/>
  <c r="G14" i="1"/>
  <c r="H14" i="1"/>
  <c r="I14" i="1"/>
  <c r="F15" i="1"/>
  <c r="G15" i="1"/>
  <c r="H15" i="1"/>
  <c r="I15" i="1"/>
  <c r="F16" i="1"/>
  <c r="G16" i="1"/>
  <c r="H16" i="1"/>
  <c r="I16" i="1"/>
  <c r="F17" i="1"/>
  <c r="G17" i="1"/>
  <c r="H17" i="1"/>
  <c r="I17" i="1"/>
  <c r="F18" i="1"/>
  <c r="G18" i="1"/>
  <c r="H18" i="1"/>
  <c r="I18" i="1"/>
  <c r="F19" i="1"/>
  <c r="G19" i="1"/>
  <c r="H19" i="1"/>
  <c r="I19" i="1"/>
  <c r="F20" i="1"/>
  <c r="G20" i="1"/>
  <c r="H20" i="1"/>
  <c r="I20" i="1"/>
  <c r="F21" i="1"/>
  <c r="G21" i="1"/>
  <c r="H21" i="1"/>
  <c r="I21" i="1"/>
  <c r="F22" i="1"/>
  <c r="G22" i="1"/>
  <c r="H22" i="1"/>
  <c r="I22" i="1"/>
  <c r="F23" i="1"/>
  <c r="G23" i="1"/>
  <c r="H23" i="1"/>
  <c r="I23" i="1"/>
  <c r="F24" i="1"/>
  <c r="G24" i="1"/>
  <c r="H24" i="1"/>
  <c r="I24" i="1"/>
  <c r="F25" i="1"/>
  <c r="G25" i="1"/>
  <c r="H25" i="1"/>
  <c r="I25" i="1"/>
  <c r="F26" i="1"/>
  <c r="G26" i="1"/>
  <c r="H26" i="1"/>
  <c r="I26" i="1"/>
  <c r="F27" i="1"/>
  <c r="G27" i="1"/>
  <c r="H27" i="1"/>
  <c r="I27" i="1"/>
  <c r="F28" i="1"/>
  <c r="G28" i="1"/>
  <c r="H28" i="1"/>
  <c r="I28" i="1"/>
  <c r="F29" i="1"/>
  <c r="G29" i="1"/>
  <c r="H29" i="1"/>
  <c r="I29" i="1"/>
  <c r="F30" i="1"/>
  <c r="G30" i="1"/>
  <c r="H30" i="1"/>
  <c r="I30" i="1"/>
  <c r="F31" i="1"/>
  <c r="G31" i="1"/>
  <c r="H31" i="1"/>
  <c r="I31" i="1"/>
  <c r="F32" i="1"/>
  <c r="G32" i="1"/>
  <c r="H32" i="1"/>
  <c r="I32" i="1"/>
  <c r="F33" i="1"/>
  <c r="G33" i="1"/>
  <c r="H33" i="1"/>
  <c r="I33" i="1"/>
  <c r="F34" i="1"/>
  <c r="G34" i="1"/>
  <c r="H34" i="1"/>
  <c r="I34" i="1"/>
  <c r="F35" i="1"/>
  <c r="G35" i="1"/>
  <c r="H35" i="1"/>
  <c r="I35" i="1"/>
  <c r="F36" i="1"/>
  <c r="G36" i="1"/>
  <c r="H36" i="1"/>
  <c r="I36" i="1"/>
  <c r="F37" i="1"/>
  <c r="G37" i="1"/>
  <c r="H37" i="1"/>
  <c r="I37" i="1"/>
  <c r="F38" i="1"/>
  <c r="G38" i="1"/>
  <c r="H38" i="1"/>
  <c r="I38" i="1"/>
  <c r="F39" i="1"/>
  <c r="G39" i="1"/>
  <c r="H39" i="1"/>
  <c r="I39" i="1"/>
  <c r="F40" i="1"/>
  <c r="G40" i="1"/>
  <c r="H40" i="1"/>
  <c r="I40" i="1"/>
  <c r="F41" i="1"/>
  <c r="G41" i="1"/>
  <c r="H41" i="1"/>
  <c r="I41" i="1"/>
  <c r="F42" i="1"/>
  <c r="G42" i="1"/>
  <c r="H42" i="1"/>
  <c r="I42" i="1"/>
  <c r="F43" i="1"/>
  <c r="G43" i="1"/>
  <c r="H43" i="1"/>
  <c r="I43" i="1"/>
  <c r="F44" i="1"/>
  <c r="G44" i="1"/>
  <c r="H44" i="1"/>
  <c r="I44" i="1"/>
  <c r="F45" i="1"/>
  <c r="G45" i="1"/>
  <c r="H45" i="1"/>
  <c r="I45" i="1"/>
  <c r="F46" i="1"/>
  <c r="G46" i="1"/>
  <c r="H46" i="1"/>
  <c r="I46" i="1"/>
  <c r="F47" i="1"/>
  <c r="G47" i="1"/>
  <c r="H47" i="1"/>
  <c r="I47" i="1"/>
  <c r="F48" i="1"/>
  <c r="G48" i="1"/>
  <c r="H48" i="1"/>
  <c r="I48" i="1"/>
  <c r="F49" i="1"/>
  <c r="G49" i="1"/>
  <c r="H49" i="1"/>
  <c r="I49" i="1"/>
  <c r="F50" i="1"/>
  <c r="G50" i="1"/>
  <c r="H50" i="1"/>
  <c r="I50" i="1"/>
  <c r="F51" i="1"/>
  <c r="G51" i="1"/>
  <c r="H51" i="1"/>
  <c r="I51" i="1"/>
  <c r="F52" i="1"/>
  <c r="G52" i="1"/>
  <c r="H52" i="1"/>
  <c r="I52" i="1"/>
  <c r="F53" i="1"/>
  <c r="G53" i="1"/>
  <c r="H53" i="1"/>
  <c r="I53" i="1"/>
  <c r="F54" i="1"/>
  <c r="G54" i="1"/>
  <c r="H54" i="1"/>
  <c r="I54" i="1"/>
  <c r="F55" i="1"/>
  <c r="G55" i="1"/>
  <c r="H55" i="1"/>
  <c r="I55" i="1"/>
  <c r="F56" i="1"/>
  <c r="G56" i="1"/>
  <c r="H56" i="1"/>
  <c r="I56" i="1"/>
  <c r="F57" i="1"/>
  <c r="G57" i="1"/>
  <c r="H57" i="1"/>
  <c r="I57" i="1"/>
  <c r="F58" i="1"/>
  <c r="G58" i="1"/>
  <c r="H58" i="1"/>
  <c r="I58" i="1"/>
  <c r="F59" i="1"/>
  <c r="G59" i="1"/>
  <c r="H59" i="1"/>
  <c r="I59" i="1"/>
  <c r="F60" i="1"/>
  <c r="G60" i="1"/>
  <c r="H60" i="1"/>
  <c r="I60" i="1"/>
  <c r="G2" i="1"/>
  <c r="H2" i="1"/>
  <c r="I2" i="1"/>
  <c r="F2" i="1"/>
  <c r="L8" i="1" l="1"/>
  <c r="N6" i="1" s="1"/>
  <c r="M3" i="1"/>
  <c r="L3" i="1"/>
  <c r="N2" i="1"/>
  <c r="M2" i="1"/>
  <c r="L7" i="1"/>
  <c r="M6" i="1" s="1"/>
  <c r="L2" i="1"/>
  <c r="N3" i="1"/>
  <c r="M14" i="1" s="1"/>
  <c r="M8" i="1"/>
  <c r="N7" i="1" s="1"/>
  <c r="P33" i="1"/>
  <c r="O33" i="1"/>
  <c r="M15" i="1" l="1"/>
  <c r="L12" i="1"/>
  <c r="L15" i="1"/>
  <c r="L14" i="1"/>
  <c r="L13" i="1"/>
  <c r="M12" i="1"/>
  <c r="M13" i="1"/>
  <c r="M20" i="1"/>
  <c r="O26" i="1"/>
  <c r="L22" i="1"/>
  <c r="M32" i="1"/>
  <c r="N32" i="1" l="1"/>
  <c r="M22" i="1"/>
  <c r="L32" i="1"/>
  <c r="L20" i="1"/>
  <c r="Q32" i="1" l="1"/>
</calcChain>
</file>

<file path=xl/sharedStrings.xml><?xml version="1.0" encoding="utf-8"?>
<sst xmlns="http://schemas.openxmlformats.org/spreadsheetml/2006/main" count="72" uniqueCount="47">
  <si>
    <t>Date</t>
  </si>
  <si>
    <t>Mean</t>
  </si>
  <si>
    <t>standard deviation</t>
  </si>
  <si>
    <t xml:space="preserve"> </t>
  </si>
  <si>
    <t>Correlation matrix</t>
  </si>
  <si>
    <t>sp500_ret</t>
  </si>
  <si>
    <t xml:space="preserve">Beta </t>
  </si>
  <si>
    <t>return</t>
  </si>
  <si>
    <t>risk-free</t>
  </si>
  <si>
    <t>market</t>
  </si>
  <si>
    <t>Portfolio return</t>
  </si>
  <si>
    <t>portfolio standard deviation</t>
  </si>
  <si>
    <t>Assume</t>
  </si>
  <si>
    <t>risk free rate</t>
  </si>
  <si>
    <t>marekt return</t>
  </si>
  <si>
    <t>CAPM return calculation based on Beta</t>
  </si>
  <si>
    <t>1/3 in each</t>
  </si>
  <si>
    <t>Portfolio STOCK 1 + STOCK 2 + STOCK 3</t>
  </si>
  <si>
    <t>weight of each STOCK  - YOUR CHOICE</t>
  </si>
  <si>
    <t>PORTFOLIO RET, STD RESULTS</t>
  </si>
  <si>
    <t>S&amp;P500</t>
  </si>
  <si>
    <t>Portfolio</t>
  </si>
  <si>
    <t>portfolio</t>
  </si>
  <si>
    <t>wmt</t>
  </si>
  <si>
    <t>apple</t>
  </si>
  <si>
    <t>tesla</t>
  </si>
  <si>
    <t>s&amp;P500</t>
  </si>
  <si>
    <t>individually</t>
  </si>
  <si>
    <t>two stocks in a portfolio</t>
  </si>
  <si>
    <t>Portfolio wmt + tesla</t>
  </si>
  <si>
    <t>10% wmt 90% tesla</t>
  </si>
  <si>
    <t>50% wmt 50% tesla</t>
  </si>
  <si>
    <t>70% wmt 30% tesla</t>
  </si>
  <si>
    <t>90% wmt 10% tesla</t>
  </si>
  <si>
    <t>WMT</t>
  </si>
  <si>
    <t>APPLE</t>
  </si>
  <si>
    <t>TESLA</t>
  </si>
  <si>
    <t xml:space="preserve">SYSTEMATIC RISK == </t>
  </si>
  <si>
    <t>SYSTEMATIC RISK == MARKET RISK, RECESSION, INFLATION, WAR, INTEREST RATE, ELECTION</t>
  </si>
  <si>
    <t xml:space="preserve">IDOSYNCRATIC RISK == FIRM SPECIFIC RISK = UNSYSTMATIC RISK, IGNORE, HURRICAN IN JAX, </t>
  </si>
  <si>
    <t>X</t>
  </si>
  <si>
    <t>f(x)-wmt</t>
  </si>
  <si>
    <t>=1-NORM.DIST(10%, 6.79%, 22.29%, 1)</t>
  </si>
  <si>
    <t>=NORM.DIST(-10%, 1.1%, 5.26%, 1)</t>
  </si>
  <si>
    <t>get 10% or more of Tesla</t>
  </si>
  <si>
    <t>get -10% or less of WMT</t>
  </si>
  <si>
    <t xml:space="preserve">Examples: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</si>
</sst>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.00000_-;\-* #,##0.00000_-;_-* &quot;-&quot;??_-;_-@_-"/>
    <numFmt numFmtId="166" formatCode="0.000000000000000%"/>
    <numFmt numFmtId="167" formatCode="0.0000000000000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7"/>
      <color rgb="FF232A3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/>
      <diagonal/>
    </border>
  </borders>
  <cellStyleXfs count="52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16" fillId="33" borderId="0" xfId="0" applyFont="1" applyFill="1" applyAlignment="1">
      <alignment horizontal="center"/>
    </xf>
    <xf numFmtId="0" fontId="0" fillId="33" borderId="0" xfId="0" applyFill="1"/>
    <xf numFmtId="0" fontId="16" fillId="33" borderId="0" xfId="0" applyFont="1" applyFill="1"/>
    <xf numFmtId="0" fontId="16" fillId="34" borderId="0" xfId="0" applyFont="1" applyFill="1"/>
    <xf numFmtId="0" fontId="16" fillId="35" borderId="0" xfId="0" applyFont="1" applyFill="1" applyAlignment="1">
      <alignment horizontal="center"/>
    </xf>
    <xf numFmtId="10" fontId="0" fillId="33" borderId="0" xfId="0" applyNumberFormat="1" applyFill="1" applyAlignment="1">
      <alignment horizontal="center"/>
    </xf>
    <xf numFmtId="0" fontId="16" fillId="36" borderId="0" xfId="0" applyFont="1" applyFill="1" applyAlignment="1">
      <alignment horizontal="center"/>
    </xf>
    <xf numFmtId="0" fontId="0" fillId="36" borderId="0" xfId="0" applyFill="1" applyAlignment="1">
      <alignment horizontal="center"/>
    </xf>
    <xf numFmtId="0" fontId="0" fillId="36" borderId="0" xfId="0" applyFill="1"/>
    <xf numFmtId="0" fontId="0" fillId="35" borderId="0" xfId="0" applyFill="1" applyAlignment="1">
      <alignment horizontal="center"/>
    </xf>
    <xf numFmtId="0" fontId="0" fillId="35" borderId="0" xfId="0" applyFill="1"/>
    <xf numFmtId="10" fontId="0" fillId="36" borderId="0" xfId="0" applyNumberFormat="1" applyFill="1" applyAlignment="1">
      <alignment horizontal="center"/>
    </xf>
    <xf numFmtId="10" fontId="0" fillId="36" borderId="0" xfId="1" applyNumberFormat="1" applyFont="1" applyFill="1" applyAlignment="1">
      <alignment horizontal="center"/>
    </xf>
    <xf numFmtId="0" fontId="16" fillId="37" borderId="0" xfId="0" applyFont="1" applyFill="1" applyAlignment="1">
      <alignment horizontal="center"/>
    </xf>
    <xf numFmtId="10" fontId="0" fillId="37" borderId="0" xfId="1" applyNumberFormat="1" applyFont="1" applyFill="1" applyAlignment="1">
      <alignment horizontal="center"/>
    </xf>
    <xf numFmtId="0" fontId="16" fillId="38" borderId="0" xfId="0" applyFont="1" applyFill="1" applyAlignment="1">
      <alignment horizontal="center"/>
    </xf>
    <xf numFmtId="0" fontId="0" fillId="38" borderId="0" xfId="0" applyFill="1" applyAlignment="1">
      <alignment horizontal="center"/>
    </xf>
    <xf numFmtId="9" fontId="0" fillId="0" borderId="0" xfId="0" applyNumberFormat="1" applyAlignment="1">
      <alignment horizontal="center"/>
    </xf>
    <xf numFmtId="0" fontId="0" fillId="39" borderId="0" xfId="0" applyFill="1"/>
    <xf numFmtId="0" fontId="16" fillId="39" borderId="0" xfId="0" applyFont="1" applyFill="1" applyAlignment="1">
      <alignment horizontal="center"/>
    </xf>
    <xf numFmtId="2" fontId="0" fillId="36" borderId="0" xfId="1" applyNumberFormat="1" applyFont="1" applyFill="1" applyAlignment="1">
      <alignment horizontal="center"/>
    </xf>
    <xf numFmtId="2" fontId="0" fillId="38" borderId="0" xfId="43" applyNumberFormat="1" applyFont="1" applyFill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10" fontId="0" fillId="35" borderId="0" xfId="1" applyNumberFormat="1" applyFont="1" applyFill="1" applyAlignment="1">
      <alignment horizontal="center"/>
    </xf>
    <xf numFmtId="10" fontId="0" fillId="35" borderId="0" xfId="0" applyNumberFormat="1" applyFill="1" applyAlignment="1">
      <alignment horizontal="center"/>
    </xf>
    <xf numFmtId="0" fontId="16" fillId="36" borderId="0" xfId="0" applyFont="1" applyFill="1" applyAlignment="1">
      <alignment horizontal="center" wrapText="1"/>
    </xf>
    <xf numFmtId="0" fontId="16" fillId="36" borderId="0" xfId="0" applyFont="1" applyFill="1" applyAlignment="1">
      <alignment horizontal="center" vertical="top" wrapText="1"/>
    </xf>
    <xf numFmtId="164" fontId="0" fillId="38" borderId="0" xfId="43" applyFont="1" applyFill="1" applyAlignment="1">
      <alignment horizontal="center"/>
    </xf>
    <xf numFmtId="14" fontId="0" fillId="0" borderId="0" xfId="0" applyNumberFormat="1"/>
    <xf numFmtId="0" fontId="20" fillId="40" borderId="0" xfId="0" applyFont="1" applyFill="1" applyAlignment="1">
      <alignment horizontal="center" vertical="center"/>
    </xf>
    <xf numFmtId="4" fontId="20" fillId="40" borderId="10" xfId="0" applyNumberFormat="1" applyFont="1" applyFill="1" applyBorder="1" applyAlignment="1">
      <alignment horizontal="right" vertical="center"/>
    </xf>
    <xf numFmtId="0" fontId="0" fillId="41" borderId="0" xfId="0" applyFill="1"/>
    <xf numFmtId="10" fontId="0" fillId="33" borderId="0" xfId="0" quotePrefix="1" applyNumberFormat="1" applyFill="1" applyAlignment="1">
      <alignment horizontal="center"/>
    </xf>
    <xf numFmtId="164" fontId="0" fillId="34" borderId="0" xfId="43" applyFont="1" applyFill="1" applyAlignment="1">
      <alignment horizontal="left"/>
    </xf>
    <xf numFmtId="164" fontId="16" fillId="34" borderId="0" xfId="43" applyFont="1" applyFill="1" applyAlignment="1">
      <alignment horizontal="left"/>
    </xf>
    <xf numFmtId="10" fontId="0" fillId="36" borderId="0" xfId="0" quotePrefix="1" applyNumberFormat="1" applyFill="1" applyAlignment="1">
      <alignment horizontal="center"/>
    </xf>
    <xf numFmtId="165" fontId="16" fillId="34" borderId="0" xfId="43" quotePrefix="1" applyNumberFormat="1" applyFont="1" applyFill="1" applyAlignment="1">
      <alignment horizontal="left"/>
    </xf>
    <xf numFmtId="10" fontId="16" fillId="36" borderId="0" xfId="1" applyNumberFormat="1" applyFont="1" applyFill="1" applyAlignment="1">
      <alignment horizontal="center"/>
    </xf>
    <xf numFmtId="2" fontId="0" fillId="38" borderId="0" xfId="43" quotePrefix="1" applyNumberFormat="1" applyFont="1" applyFill="1" applyAlignment="1">
      <alignment horizontal="center"/>
    </xf>
    <xf numFmtId="0" fontId="0" fillId="37" borderId="0" xfId="0" applyFill="1" applyAlignment="1">
      <alignment horizontal="center"/>
    </xf>
    <xf numFmtId="10" fontId="1" fillId="37" borderId="0" xfId="1" applyNumberFormat="1" applyFont="1" applyFill="1" applyAlignment="1">
      <alignment horizontal="center"/>
    </xf>
    <xf numFmtId="9" fontId="0" fillId="0" borderId="0" xfId="0" applyNumberFormat="1"/>
    <xf numFmtId="166" fontId="0" fillId="0" borderId="0" xfId="0" quotePrefix="1" applyNumberFormat="1"/>
    <xf numFmtId="167" fontId="0" fillId="0" borderId="0" xfId="0" quotePrefix="1" applyNumberFormat="1"/>
    <xf numFmtId="0" fontId="0" fillId="36" borderId="0" xfId="0" applyFill="1" applyAlignment="1">
      <alignment horizontal="center"/>
    </xf>
    <xf numFmtId="0" fontId="16" fillId="39" borderId="0" xfId="0" applyFont="1" applyFill="1" applyAlignment="1">
      <alignment horizontal="center"/>
    </xf>
    <xf numFmtId="10" fontId="1" fillId="36" borderId="0" xfId="1" applyNumberFormat="1" applyFont="1" applyFill="1"/>
    <xf numFmtId="0" fontId="16" fillId="34" borderId="0" xfId="0" applyFont="1" applyFill="1" applyAlignment="1">
      <alignment horizontal="right"/>
    </xf>
    <xf numFmtId="0" fontId="16" fillId="34" borderId="0" xfId="0" applyFont="1" applyFill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B000000}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itle 2" xfId="44" xr:uid="{00000000-0005-0000-0000-000031000000}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SML - Security Market Line</c:v>
          </c:tx>
          <c:xVal>
            <c:numRef>
              <c:f>'risk return template'!$L$32:$P$32</c:f>
              <c:numCache>
                <c:formatCode>0.00</c:formatCode>
                <c:ptCount val="5"/>
                <c:pt idx="0">
                  <c:v>0.49656652284908465</c:v>
                </c:pt>
                <c:pt idx="1">
                  <c:v>1.2685598185533917</c:v>
                </c:pt>
                <c:pt idx="2">
                  <c:v>2.0944291413172498</c:v>
                </c:pt>
                <c:pt idx="3">
                  <c:v>0</c:v>
                </c:pt>
                <c:pt idx="4">
                  <c:v>1</c:v>
                </c:pt>
              </c:numCache>
            </c:numRef>
          </c:xVal>
          <c:yVal>
            <c:numRef>
              <c:f>'risk return template'!$L$33:$P$33</c:f>
              <c:numCache>
                <c:formatCode>0.00%</c:formatCode>
                <c:ptCount val="5"/>
                <c:pt idx="0">
                  <c:v>0.05</c:v>
                </c:pt>
                <c:pt idx="1">
                  <c:v>9.6200000000000008E-2</c:v>
                </c:pt>
                <c:pt idx="2">
                  <c:v>0.14539999999999997</c:v>
                </c:pt>
                <c:pt idx="3">
                  <c:v>0.02</c:v>
                </c:pt>
                <c:pt idx="4">
                  <c:v>0.08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5E9-4D9A-9E0F-31AFAC021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092608"/>
        <c:axId val="125094912"/>
      </c:scatterChart>
      <c:valAx>
        <c:axId val="12509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Stock's</a:t>
                </a:r>
                <a:r>
                  <a:rPr lang="en-US" baseline="0"/>
                  <a:t> Beta</a:t>
                </a:r>
                <a:endParaRPr lang="en-US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25094912"/>
        <c:crosses val="autoZero"/>
        <c:crossBetween val="midCat"/>
      </c:valAx>
      <c:valAx>
        <c:axId val="125094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Stock's</a:t>
                </a:r>
                <a:r>
                  <a:rPr lang="en-US" baseline="0"/>
                  <a:t> Return</a:t>
                </a:r>
                <a:endParaRPr lang="en-US"/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crossAx val="1250926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Normal Distribution f(x)</a:t>
            </a:r>
            <a:r>
              <a:rPr lang="en-US" baseline="0"/>
              <a:t> - Density Function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'risk return template'!$R$1</c:f>
              <c:strCache>
                <c:ptCount val="1"/>
                <c:pt idx="0">
                  <c:v>f(x)-wmt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'risk return template'!$Q$2:$Q$17</c:f>
              <c:numCache>
                <c:formatCode>0%</c:formatCode>
                <c:ptCount val="16"/>
                <c:pt idx="0">
                  <c:v>-0.3</c:v>
                </c:pt>
                <c:pt idx="1">
                  <c:v>-0.25</c:v>
                </c:pt>
                <c:pt idx="2">
                  <c:v>-0.2</c:v>
                </c:pt>
                <c:pt idx="3">
                  <c:v>-0.15</c:v>
                </c:pt>
                <c:pt idx="4">
                  <c:v>-0.1</c:v>
                </c:pt>
                <c:pt idx="5">
                  <c:v>-0.05</c:v>
                </c:pt>
                <c:pt idx="6">
                  <c:v>0</c:v>
                </c:pt>
                <c:pt idx="7">
                  <c:v>0.05</c:v>
                </c:pt>
                <c:pt idx="8">
                  <c:v>0.1</c:v>
                </c:pt>
                <c:pt idx="9">
                  <c:v>0.15</c:v>
                </c:pt>
                <c:pt idx="10">
                  <c:v>0.2</c:v>
                </c:pt>
                <c:pt idx="11">
                  <c:v>0.25</c:v>
                </c:pt>
                <c:pt idx="12">
                  <c:v>0.3</c:v>
                </c:pt>
                <c:pt idx="13">
                  <c:v>0.35</c:v>
                </c:pt>
                <c:pt idx="14">
                  <c:v>0.4</c:v>
                </c:pt>
                <c:pt idx="15">
                  <c:v>0.45</c:v>
                </c:pt>
              </c:numCache>
            </c:numRef>
          </c:xVal>
          <c:yVal>
            <c:numRef>
              <c:f>'risk return template'!$R$2:$R$17</c:f>
              <c:numCache>
                <c:formatCode>General</c:formatCode>
                <c:ptCount val="16"/>
                <c:pt idx="0">
                  <c:v>1.9446599687168746E-7</c:v>
                </c:pt>
                <c:pt idx="1">
                  <c:v>3.4158190126066469E-5</c:v>
                </c:pt>
                <c:pt idx="2">
                  <c:v>2.4306615680947758E-3</c:v>
                </c:pt>
                <c:pt idx="3">
                  <c:v>7.0070078264610314E-2</c:v>
                </c:pt>
                <c:pt idx="4">
                  <c:v>0.81831248334676654</c:v>
                </c:pt>
                <c:pt idx="5">
                  <c:v>3.8715441455596178</c:v>
                </c:pt>
                <c:pt idx="6">
                  <c:v>7.4204068990837087</c:v>
                </c:pt>
                <c:pt idx="7">
                  <c:v>5.7616873855835085</c:v>
                </c:pt>
                <c:pt idx="8">
                  <c:v>1.8123836128371786</c:v>
                </c:pt>
                <c:pt idx="9">
                  <c:v>0.23095588239177575</c:v>
                </c:pt>
                <c:pt idx="10">
                  <c:v>1.1923023363919495E-2</c:v>
                </c:pt>
                <c:pt idx="11">
                  <c:v>2.4935738070051735E-4</c:v>
                </c:pt>
                <c:pt idx="12">
                  <c:v>2.1126936417443626E-6</c:v>
                </c:pt>
                <c:pt idx="13">
                  <c:v>7.2515240005228508E-9</c:v>
                </c:pt>
                <c:pt idx="14">
                  <c:v>1.0083249595846262E-11</c:v>
                </c:pt>
                <c:pt idx="15">
                  <c:v>5.6800245405038229E-15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7C-4B9A-B0DB-CE95D6691355}"/>
            </c:ext>
          </c:extLst>
        </c:ser>
        <c:ser>
          <c:idx val="1"/>
          <c:order val="1"/>
          <c:tx>
            <c:strRef>
              <c:f>'risk return template'!$S$1</c:f>
              <c:strCache>
                <c:ptCount val="1"/>
                <c:pt idx="0">
                  <c:v>apple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'risk return template'!$Q$2:$Q$17</c:f>
              <c:numCache>
                <c:formatCode>0%</c:formatCode>
                <c:ptCount val="16"/>
                <c:pt idx="0">
                  <c:v>-0.3</c:v>
                </c:pt>
                <c:pt idx="1">
                  <c:v>-0.25</c:v>
                </c:pt>
                <c:pt idx="2">
                  <c:v>-0.2</c:v>
                </c:pt>
                <c:pt idx="3">
                  <c:v>-0.15</c:v>
                </c:pt>
                <c:pt idx="4">
                  <c:v>-0.1</c:v>
                </c:pt>
                <c:pt idx="5">
                  <c:v>-0.05</c:v>
                </c:pt>
                <c:pt idx="6">
                  <c:v>0</c:v>
                </c:pt>
                <c:pt idx="7">
                  <c:v>0.05</c:v>
                </c:pt>
                <c:pt idx="8">
                  <c:v>0.1</c:v>
                </c:pt>
                <c:pt idx="9">
                  <c:v>0.15</c:v>
                </c:pt>
                <c:pt idx="10">
                  <c:v>0.2</c:v>
                </c:pt>
                <c:pt idx="11">
                  <c:v>0.25</c:v>
                </c:pt>
                <c:pt idx="12">
                  <c:v>0.3</c:v>
                </c:pt>
                <c:pt idx="13">
                  <c:v>0.35</c:v>
                </c:pt>
                <c:pt idx="14">
                  <c:v>0.4</c:v>
                </c:pt>
                <c:pt idx="15">
                  <c:v>0.45</c:v>
                </c:pt>
              </c:numCache>
            </c:numRef>
          </c:xVal>
          <c:yVal>
            <c:numRef>
              <c:f>'risk return template'!$S$2:$S$17</c:f>
              <c:numCache>
                <c:formatCode>General</c:formatCode>
                <c:ptCount val="16"/>
                <c:pt idx="0">
                  <c:v>7.5421767752849971E-3</c:v>
                </c:pt>
                <c:pt idx="1">
                  <c:v>4.5697868857122279E-2</c:v>
                </c:pt>
                <c:pt idx="2">
                  <c:v>0.2052714431478222</c:v>
                </c:pt>
                <c:pt idx="3">
                  <c:v>0.68358806732141242</c:v>
                </c:pt>
                <c:pt idx="4">
                  <c:v>1.6876942061529896</c:v>
                </c:pt>
                <c:pt idx="5">
                  <c:v>3.08906036179869</c:v>
                </c:pt>
                <c:pt idx="6">
                  <c:v>4.1917211009663493</c:v>
                </c:pt>
                <c:pt idx="7">
                  <c:v>4.2168845580504914</c:v>
                </c:pt>
                <c:pt idx="8">
                  <c:v>3.1450271128048999</c:v>
                </c:pt>
                <c:pt idx="9">
                  <c:v>1.7389633322550762</c:v>
                </c:pt>
                <c:pt idx="10">
                  <c:v>0.71283629496824541</c:v>
                </c:pt>
                <c:pt idx="11">
                  <c:v>0.21663196187067488</c:v>
                </c:pt>
                <c:pt idx="12">
                  <c:v>4.8807730082651032E-2</c:v>
                </c:pt>
                <c:pt idx="13">
                  <c:v>8.1524479852351037E-3</c:v>
                </c:pt>
                <c:pt idx="14">
                  <c:v>1.0095336785033628E-3</c:v>
                </c:pt>
                <c:pt idx="15">
                  <c:v>9.2680194359311171E-5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27C-4B9A-B0DB-CE95D6691355}"/>
            </c:ext>
          </c:extLst>
        </c:ser>
        <c:ser>
          <c:idx val="2"/>
          <c:order val="2"/>
          <c:tx>
            <c:strRef>
              <c:f>'risk return template'!$T$1</c:f>
              <c:strCache>
                <c:ptCount val="1"/>
                <c:pt idx="0">
                  <c:v>tesla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'risk return template'!$Q$2:$Q$17</c:f>
              <c:numCache>
                <c:formatCode>0%</c:formatCode>
                <c:ptCount val="16"/>
                <c:pt idx="0">
                  <c:v>-0.3</c:v>
                </c:pt>
                <c:pt idx="1">
                  <c:v>-0.25</c:v>
                </c:pt>
                <c:pt idx="2">
                  <c:v>-0.2</c:v>
                </c:pt>
                <c:pt idx="3">
                  <c:v>-0.15</c:v>
                </c:pt>
                <c:pt idx="4">
                  <c:v>-0.1</c:v>
                </c:pt>
                <c:pt idx="5">
                  <c:v>-0.05</c:v>
                </c:pt>
                <c:pt idx="6">
                  <c:v>0</c:v>
                </c:pt>
                <c:pt idx="7">
                  <c:v>0.05</c:v>
                </c:pt>
                <c:pt idx="8">
                  <c:v>0.1</c:v>
                </c:pt>
                <c:pt idx="9">
                  <c:v>0.15</c:v>
                </c:pt>
                <c:pt idx="10">
                  <c:v>0.2</c:v>
                </c:pt>
                <c:pt idx="11">
                  <c:v>0.25</c:v>
                </c:pt>
                <c:pt idx="12">
                  <c:v>0.3</c:v>
                </c:pt>
                <c:pt idx="13">
                  <c:v>0.35</c:v>
                </c:pt>
                <c:pt idx="14">
                  <c:v>0.4</c:v>
                </c:pt>
                <c:pt idx="15">
                  <c:v>0.45</c:v>
                </c:pt>
              </c:numCache>
            </c:numRef>
          </c:xVal>
          <c:yVal>
            <c:numRef>
              <c:f>'risk return template'!$T$2:$T$17</c:f>
              <c:numCache>
                <c:formatCode>General</c:formatCode>
                <c:ptCount val="16"/>
                <c:pt idx="0">
                  <c:v>0.4584023870219649</c:v>
                </c:pt>
                <c:pt idx="1">
                  <c:v>0.64731007908877558</c:v>
                </c:pt>
                <c:pt idx="2">
                  <c:v>0.86921100166166632</c:v>
                </c:pt>
                <c:pt idx="3">
                  <c:v>1.1099039733455405</c:v>
                </c:pt>
                <c:pt idx="4">
                  <c:v>1.3476991175687028</c:v>
                </c:pt>
                <c:pt idx="5">
                  <c:v>1.5561369972300014</c:v>
                </c:pt>
                <c:pt idx="6">
                  <c:v>1.7086379918135699</c:v>
                </c:pt>
                <c:pt idx="7">
                  <c:v>1.7840196582381536</c:v>
                </c:pt>
                <c:pt idx="8">
                  <c:v>1.7713180931783117</c:v>
                </c:pt>
                <c:pt idx="9">
                  <c:v>1.6724025777231126</c:v>
                </c:pt>
                <c:pt idx="10">
                  <c:v>1.5015245734049274</c:v>
                </c:pt>
                <c:pt idx="11">
                  <c:v>1.2819509432855505</c:v>
                </c:pt>
                <c:pt idx="12">
                  <c:v>1.0407770682809974</c:v>
                </c:pt>
                <c:pt idx="13">
                  <c:v>0.80351015437288942</c:v>
                </c:pt>
                <c:pt idx="14">
                  <c:v>0.58989181564929072</c:v>
                </c:pt>
                <c:pt idx="15">
                  <c:v>0.41181363146428818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27C-4B9A-B0DB-CE95D6691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184536"/>
        <c:axId val="687196416"/>
      </c:scatterChart>
      <c:valAx>
        <c:axId val="687184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7196416"/>
        <c:crosses val="autoZero"/>
        <c:crossBetween val="midCat"/>
      </c:valAx>
      <c:valAx>
        <c:axId val="68719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7184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26" Type="http://schemas.openxmlformats.org/officeDocument/2006/relationships/image" Target="../media/image11.png"/><Relationship Id="rId3" Type="http://schemas.openxmlformats.org/officeDocument/2006/relationships/image" Target="../media/image1.png"/><Relationship Id="rId21" Type="http://schemas.openxmlformats.org/officeDocument/2006/relationships/customXml" Target="../ink/ink6.xml"/><Relationship Id="rId25" Type="http://schemas.openxmlformats.org/officeDocument/2006/relationships/customXml" Target="../ink/ink8.xml"/><Relationship Id="rId33" Type="http://schemas.openxmlformats.org/officeDocument/2006/relationships/chart" Target="../charts/chart2.xml"/><Relationship Id="rId2" Type="http://schemas.openxmlformats.org/officeDocument/2006/relationships/customXml" Target="../ink/ink1.xml"/><Relationship Id="rId20" Type="http://schemas.openxmlformats.org/officeDocument/2006/relationships/image" Target="../media/image8.png"/><Relationship Id="rId29" Type="http://schemas.openxmlformats.org/officeDocument/2006/relationships/customXml" Target="../ink/ink10.xml"/><Relationship Id="rId1" Type="http://schemas.openxmlformats.org/officeDocument/2006/relationships/chart" Target="../charts/chart1.xml"/><Relationship Id="rId11" Type="http://schemas.openxmlformats.org/officeDocument/2006/relationships/customXml" Target="../ink/ink5.xml"/><Relationship Id="rId24" Type="http://schemas.openxmlformats.org/officeDocument/2006/relationships/image" Target="../media/image10.png"/><Relationship Id="rId32" Type="http://schemas.openxmlformats.org/officeDocument/2006/relationships/image" Target="../media/image14.png"/><Relationship Id="rId5" Type="http://schemas.openxmlformats.org/officeDocument/2006/relationships/customXml" Target="../ink/ink3.xml"/><Relationship Id="rId23" Type="http://schemas.openxmlformats.org/officeDocument/2006/relationships/customXml" Target="../ink/ink7.xml"/><Relationship Id="rId28" Type="http://schemas.openxmlformats.org/officeDocument/2006/relationships/image" Target="../media/image12.png"/><Relationship Id="rId10" Type="http://schemas.openxmlformats.org/officeDocument/2006/relationships/image" Target="../media/image4.png"/><Relationship Id="rId31" Type="http://schemas.openxmlformats.org/officeDocument/2006/relationships/customXml" Target="../ink/ink11.xml"/><Relationship Id="rId4" Type="http://schemas.openxmlformats.org/officeDocument/2006/relationships/customXml" Target="../ink/ink2.xml"/><Relationship Id="rId9" Type="http://schemas.openxmlformats.org/officeDocument/2006/relationships/customXml" Target="../ink/ink4.xml"/><Relationship Id="rId22" Type="http://schemas.openxmlformats.org/officeDocument/2006/relationships/image" Target="../media/image9.png"/><Relationship Id="rId27" Type="http://schemas.openxmlformats.org/officeDocument/2006/relationships/customXml" Target="../ink/ink9.xml"/><Relationship Id="rId30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438150</xdr:colOff>
      <xdr:row>34</xdr:row>
      <xdr:rowOff>142875</xdr:rowOff>
    </xdr:from>
    <xdr:to>
      <xdr:col>14</xdr:col>
      <xdr:colOff>123825</xdr:colOff>
      <xdr:row>49</xdr:row>
      <xdr:rowOff>28575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145920</xdr:colOff>
      <xdr:row>0</xdr:row>
      <xdr:rowOff>101160</xdr:rowOff>
    </xdr:from>
    <xdr:to>
      <xdr:col>2</xdr:col>
      <xdr:colOff>146280</xdr:colOff>
      <xdr:row>0</xdr:row>
      <xdr:rowOff>101520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D3F3972C-1939-4D7C-BD76-12873A52A314}"/>
                </a:ext>
              </a:extLst>
            </xdr14:cNvPr>
            <xdr14:cNvContentPartPr/>
          </xdr14:nvContentPartPr>
          <xdr14:nvPr macro=""/>
          <xdr14:xfrm>
            <a:off x="1365120" y="101160"/>
            <a:ext cx="360" cy="36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D3F3972C-1939-4D7C-BD76-12873A52A314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360800" y="9684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285480</xdr:colOff>
      <xdr:row>0</xdr:row>
      <xdr:rowOff>75960</xdr:rowOff>
    </xdr:from>
    <xdr:to>
      <xdr:col>3</xdr:col>
      <xdr:colOff>285840</xdr:colOff>
      <xdr:row>0</xdr:row>
      <xdr:rowOff>76320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2D10C5AD-34A2-4465-9C89-D87DD155BBE1}"/>
                </a:ext>
              </a:extLst>
            </xdr14:cNvPr>
            <xdr14:cNvContentPartPr/>
          </xdr14:nvContentPartPr>
          <xdr14:nvPr macro=""/>
          <xdr14:xfrm>
            <a:off x="2114280" y="75960"/>
            <a:ext cx="360" cy="36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2D10C5AD-34A2-4465-9C89-D87DD155BBE1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2109960" y="7164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590600</xdr:colOff>
      <xdr:row>1</xdr:row>
      <xdr:rowOff>165220</xdr:rowOff>
    </xdr:from>
    <xdr:to>
      <xdr:col>1</xdr:col>
      <xdr:colOff>590960</xdr:colOff>
      <xdr:row>1</xdr:row>
      <xdr:rowOff>165580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41A50538-80D7-46E4-D0A0-98779F939231}"/>
                </a:ext>
              </a:extLst>
            </xdr14:cNvPr>
            <xdr14:cNvContentPartPr/>
          </xdr14:nvContentPartPr>
          <xdr14:nvPr macro=""/>
          <xdr14:xfrm>
            <a:off x="1460550" y="355720"/>
            <a:ext cx="360" cy="36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41A50538-80D7-46E4-D0A0-98779F939231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1406550" y="247720"/>
              <a:ext cx="108000" cy="216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806600</xdr:colOff>
      <xdr:row>51</xdr:row>
      <xdr:rowOff>25360</xdr:rowOff>
    </xdr:from>
    <xdr:to>
      <xdr:col>7</xdr:col>
      <xdr:colOff>806960</xdr:colOff>
      <xdr:row>51</xdr:row>
      <xdr:rowOff>25720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3A28714-96A2-5084-E56C-958DEEACCDCA}"/>
                </a:ext>
              </a:extLst>
            </xdr14:cNvPr>
            <xdr14:cNvContentPartPr/>
          </xdr14:nvContentPartPr>
          <xdr14:nvPr macro=""/>
          <xdr14:xfrm>
            <a:off x="6248550" y="10109160"/>
            <a:ext cx="360" cy="36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03A28714-96A2-5084-E56C-958DEEACCDCA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6230550" y="10073160"/>
              <a:ext cx="36000" cy="72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1226070</xdr:colOff>
      <xdr:row>44</xdr:row>
      <xdr:rowOff>114050</xdr:rowOff>
    </xdr:from>
    <xdr:to>
      <xdr:col>10</xdr:col>
      <xdr:colOff>1407150</xdr:colOff>
      <xdr:row>45</xdr:row>
      <xdr:rowOff>70070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E28C0767-113A-138E-C272-81D3A46A4C88}"/>
                </a:ext>
              </a:extLst>
            </xdr14:cNvPr>
            <xdr14:cNvContentPartPr/>
          </xdr14:nvContentPartPr>
          <xdr14:nvPr macro=""/>
          <xdr14:xfrm>
            <a:off x="9868420" y="8864350"/>
            <a:ext cx="181080" cy="146520"/>
          </xdr14:xfrm>
        </xdr:contentPart>
      </mc:Choice>
      <mc:Fallback xmlns="">
        <xdr:pic>
          <xdr:nvPicPr>
            <xdr:cNvPr id="15" name="Ink 14">
              <a:extLst>
                <a:ext uri="{FF2B5EF4-FFF2-40B4-BE49-F238E27FC236}">
                  <a16:creationId xmlns:a16="http://schemas.microsoft.com/office/drawing/2014/main" id="{E28C0767-113A-138E-C272-81D3A46A4C88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9859420" y="8855350"/>
              <a:ext cx="198720" cy="164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1406150</xdr:colOff>
      <xdr:row>41</xdr:row>
      <xdr:rowOff>31430</xdr:rowOff>
    </xdr:from>
    <xdr:to>
      <xdr:col>11</xdr:col>
      <xdr:colOff>1511630</xdr:colOff>
      <xdr:row>42</xdr:row>
      <xdr:rowOff>52250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2F23D550-DA47-7356-3672-C83133C8D9C1}"/>
                </a:ext>
              </a:extLst>
            </xdr14:cNvPr>
            <xdr14:cNvContentPartPr/>
          </xdr14:nvContentPartPr>
          <xdr14:nvPr macro=""/>
          <xdr14:xfrm>
            <a:off x="11775700" y="8210230"/>
            <a:ext cx="105480" cy="211320"/>
          </xdr14:xfrm>
        </xdr:contentPart>
      </mc:Choice>
      <mc:Fallback xmlns="">
        <xdr:pic>
          <xdr:nvPicPr>
            <xdr:cNvPr id="18" name="Ink 17">
              <a:extLst>
                <a:ext uri="{FF2B5EF4-FFF2-40B4-BE49-F238E27FC236}">
                  <a16:creationId xmlns:a16="http://schemas.microsoft.com/office/drawing/2014/main" id="{2F23D550-DA47-7356-3672-C83133C8D9C1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11767060" y="8201230"/>
              <a:ext cx="123120" cy="228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1307790</xdr:colOff>
      <xdr:row>45</xdr:row>
      <xdr:rowOff>15710</xdr:rowOff>
    </xdr:from>
    <xdr:to>
      <xdr:col>11</xdr:col>
      <xdr:colOff>1339550</xdr:colOff>
      <xdr:row>46</xdr:row>
      <xdr:rowOff>3410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6DD9120D-73C0-4536-B9D5-8A939CDA1680}"/>
                </a:ext>
              </a:extLst>
            </xdr14:cNvPr>
            <xdr14:cNvContentPartPr/>
          </xdr14:nvContentPartPr>
          <xdr14:nvPr macro=""/>
          <xdr14:xfrm>
            <a:off x="9950140" y="8956510"/>
            <a:ext cx="1758960" cy="178200"/>
          </xdr14:xfrm>
        </xdr:contentPart>
      </mc:Choice>
      <mc:Fallback xmlns="">
        <xdr:pic>
          <xdr:nvPicPr>
            <xdr:cNvPr id="19" name="Ink 18">
              <a:extLst>
                <a:ext uri="{FF2B5EF4-FFF2-40B4-BE49-F238E27FC236}">
                  <a16:creationId xmlns:a16="http://schemas.microsoft.com/office/drawing/2014/main" id="{6DD9120D-73C0-4536-B9D5-8A939CDA1680}"/>
                </a:ext>
              </a:extLst>
            </xdr:cNvPr>
            <xdr:cNvPicPr/>
          </xdr:nvPicPr>
          <xdr:blipFill>
            <a:blip xmlns:r="http://schemas.openxmlformats.org/officeDocument/2006/relationships" r:embed="rId24"/>
            <a:stretch>
              <a:fillRect/>
            </a:stretch>
          </xdr:blipFill>
          <xdr:spPr>
            <a:xfrm>
              <a:off x="9941140" y="8947870"/>
              <a:ext cx="1776600" cy="195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634670</xdr:colOff>
      <xdr:row>45</xdr:row>
      <xdr:rowOff>164750</xdr:rowOff>
    </xdr:from>
    <xdr:to>
      <xdr:col>11</xdr:col>
      <xdr:colOff>641510</xdr:colOff>
      <xdr:row>46</xdr:row>
      <xdr:rowOff>81170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BC93C7F7-6704-FC4F-EE1E-A4C601CD7FBD}"/>
                </a:ext>
              </a:extLst>
            </xdr14:cNvPr>
            <xdr14:cNvContentPartPr/>
          </xdr14:nvContentPartPr>
          <xdr14:nvPr macro=""/>
          <xdr14:xfrm>
            <a:off x="11004220" y="9105550"/>
            <a:ext cx="6840" cy="106920"/>
          </xdr14:xfrm>
        </xdr:contentPart>
      </mc:Choice>
      <mc:Fallback xmlns="">
        <xdr:pic>
          <xdr:nvPicPr>
            <xdr:cNvPr id="20" name="Ink 19">
              <a:extLst>
                <a:ext uri="{FF2B5EF4-FFF2-40B4-BE49-F238E27FC236}">
                  <a16:creationId xmlns:a16="http://schemas.microsoft.com/office/drawing/2014/main" id="{BC93C7F7-6704-FC4F-EE1E-A4C601CD7FBD}"/>
                </a:ext>
              </a:extLst>
            </xdr:cNvPr>
            <xdr:cNvPicPr/>
          </xdr:nvPicPr>
          <xdr:blipFill>
            <a:blip xmlns:r="http://schemas.openxmlformats.org/officeDocument/2006/relationships" r:embed="rId26"/>
            <a:stretch>
              <a:fillRect/>
            </a:stretch>
          </xdr:blipFill>
          <xdr:spPr>
            <a:xfrm>
              <a:off x="10995580" y="9096550"/>
              <a:ext cx="24480" cy="124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1326230</xdr:colOff>
      <xdr:row>42</xdr:row>
      <xdr:rowOff>76010</xdr:rowOff>
    </xdr:from>
    <xdr:to>
      <xdr:col>11</xdr:col>
      <xdr:colOff>1460510</xdr:colOff>
      <xdr:row>45</xdr:row>
      <xdr:rowOff>35150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1A37AB90-C5C6-2B8D-CE62-F4A182A0E045}"/>
                </a:ext>
              </a:extLst>
            </xdr14:cNvPr>
            <xdr14:cNvContentPartPr/>
          </xdr14:nvContentPartPr>
          <xdr14:nvPr macro=""/>
          <xdr14:xfrm>
            <a:off x="11695780" y="8445310"/>
            <a:ext cx="134280" cy="530640"/>
          </xdr14:xfrm>
        </xdr:contentPart>
      </mc:Choice>
      <mc:Fallback xmlns="">
        <xdr:pic>
          <xdr:nvPicPr>
            <xdr:cNvPr id="23" name="Ink 22">
              <a:extLst>
                <a:ext uri="{FF2B5EF4-FFF2-40B4-BE49-F238E27FC236}">
                  <a16:creationId xmlns:a16="http://schemas.microsoft.com/office/drawing/2014/main" id="{1A37AB90-C5C6-2B8D-CE62-F4A182A0E045}"/>
                </a:ext>
              </a:extLst>
            </xdr:cNvPr>
            <xdr:cNvPicPr/>
          </xdr:nvPicPr>
          <xdr:blipFill>
            <a:blip xmlns:r="http://schemas.openxmlformats.org/officeDocument/2006/relationships" r:embed="rId28"/>
            <a:stretch>
              <a:fillRect/>
            </a:stretch>
          </xdr:blipFill>
          <xdr:spPr>
            <a:xfrm>
              <a:off x="11686780" y="8436310"/>
              <a:ext cx="151920" cy="548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1694870</xdr:colOff>
      <xdr:row>42</xdr:row>
      <xdr:rowOff>12290</xdr:rowOff>
    </xdr:from>
    <xdr:to>
      <xdr:col>11</xdr:col>
      <xdr:colOff>2177990</xdr:colOff>
      <xdr:row>44</xdr:row>
      <xdr:rowOff>64370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6F1E6AD1-9FAD-01E2-2E04-D9DD61A6D29B}"/>
                </a:ext>
              </a:extLst>
            </xdr14:cNvPr>
            <xdr14:cNvContentPartPr/>
          </xdr14:nvContentPartPr>
          <xdr14:nvPr macro=""/>
          <xdr14:xfrm>
            <a:off x="12064420" y="8381590"/>
            <a:ext cx="483120" cy="433080"/>
          </xdr14:xfrm>
        </xdr:contentPart>
      </mc:Choice>
      <mc:Fallback xmlns="">
        <xdr:pic>
          <xdr:nvPicPr>
            <xdr:cNvPr id="28" name="Ink 27">
              <a:extLst>
                <a:ext uri="{FF2B5EF4-FFF2-40B4-BE49-F238E27FC236}">
                  <a16:creationId xmlns:a16="http://schemas.microsoft.com/office/drawing/2014/main" id="{6F1E6AD1-9FAD-01E2-2E04-D9DD61A6D29B}"/>
                </a:ext>
              </a:extLst>
            </xdr:cNvPr>
            <xdr:cNvPicPr/>
          </xdr:nvPicPr>
          <xdr:blipFill>
            <a:blip xmlns:r="http://schemas.openxmlformats.org/officeDocument/2006/relationships" r:embed="rId30"/>
            <a:stretch>
              <a:fillRect/>
            </a:stretch>
          </xdr:blipFill>
          <xdr:spPr>
            <a:xfrm>
              <a:off x="12055427" y="8372597"/>
              <a:ext cx="500747" cy="450705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2802230</xdr:colOff>
      <xdr:row>39</xdr:row>
      <xdr:rowOff>133070</xdr:rowOff>
    </xdr:from>
    <xdr:to>
      <xdr:col>14</xdr:col>
      <xdr:colOff>27110</xdr:colOff>
      <xdr:row>46</xdr:row>
      <xdr:rowOff>175850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33573CCD-3BBD-6823-17D7-2DE4C3D6138B}"/>
                </a:ext>
              </a:extLst>
            </xdr14:cNvPr>
            <xdr14:cNvContentPartPr/>
          </xdr14:nvContentPartPr>
          <xdr14:nvPr macro=""/>
          <xdr14:xfrm>
            <a:off x="13171780" y="7930870"/>
            <a:ext cx="3473280" cy="1376280"/>
          </xdr14:xfrm>
        </xdr:contentPart>
      </mc:Choice>
      <mc:Fallback xmlns="">
        <xdr:pic>
          <xdr:nvPicPr>
            <xdr:cNvPr id="76" name="Ink 75">
              <a:extLst>
                <a:ext uri="{FF2B5EF4-FFF2-40B4-BE49-F238E27FC236}">
                  <a16:creationId xmlns:a16="http://schemas.microsoft.com/office/drawing/2014/main" id="{33573CCD-3BBD-6823-17D7-2DE4C3D6138B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13163140" y="7921870"/>
              <a:ext cx="3490920" cy="13939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20</xdr:col>
      <xdr:colOff>628015</xdr:colOff>
      <xdr:row>7</xdr:row>
      <xdr:rowOff>43815</xdr:rowOff>
    </xdr:from>
    <xdr:to>
      <xdr:col>27</xdr:col>
      <xdr:colOff>97155</xdr:colOff>
      <xdr:row>20</xdr:row>
      <xdr:rowOff>310515</xdr:rowOff>
    </xdr:to>
    <xdr:graphicFrame macro="">
      <xdr:nvGraphicFramePr>
        <xdr:cNvPr id="148" name="Chart 147">
          <a:extLst>
            <a:ext uri="{FF2B5EF4-FFF2-40B4-BE49-F238E27FC236}">
              <a16:creationId xmlns:a16="http://schemas.microsoft.com/office/drawing/2014/main" id="{C9260D5A-E641-6245-FFB2-10E0C6F9A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7-20T22:34:23.748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0 0 24575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7-20T23:54:09.333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1 283 24575,'-1'110'0,"10"212"0,-8-307 0,2-1 0,-1 0 0,2 1 0,0-1 0,0-1 0,2 1 0,-1-1 0,2 1 0,10 14 0,-13-22 0,0 0 0,0-1 0,1 0 0,0 0 0,0 0 0,0 0 0,1-1 0,0 0 0,-1 0 0,2-1 0,-1 1 0,0-1 0,0-1 0,1 1 0,0-1 0,-1 0 0,1-1 0,0 1 0,0-2 0,0 1 0,10-1 0,-11 0 0,-1-1 0,0 0 0,1 0 0,-1 0 0,1-1 0,-1 0 0,0 0 0,0 0 0,0-1 0,0 0 0,-1 1 0,1-2 0,-1 1 0,1-1 0,-1 1 0,0-1 0,-1 0 0,1-1 0,-1 1 0,0 0 0,4-8 0,-2 3 0,0 0 0,-1 0 0,0 0 0,0-1 0,-1 0 0,0 1 0,-1-1 0,-1 0 0,1 0 0,-1 0 0,-1-11 0,0 18 0,0 1 0,-1-1 0,1 0 0,-1 0 0,1 1 0,-1-1 0,0 0 0,0 1 0,0-1 0,0 1 0,-1-1 0,1 1 0,-1 0 0,0 0 0,1-1 0,-1 1 0,0 0 0,0 1 0,0-1 0,0 0 0,-1 0 0,1 1 0,0 0 0,-1-1 0,1 1 0,-1 0 0,1 0 0,-1 0 0,0 0 0,0 1 0,-4-1 0,-9-1 0,1 1 0,0 0 0,-1 2 0,-23 2 0,29-2 0,7-1-80,-1 0 0,0 0-1,0 1 1,1 0 0,-1-1-1,0 1 1,1 0 0,-1 1-1,0-1 1,1 1 0,0-1 0,-1 1-1,1 0 1,0 0 0,0 0-1,-5 6 1,0 6-6746</inkml:trace>
  <inkml:trace contextRef="#ctx0" brushRef="#br0" timeOffset="1365.86">530 336 24575,'0'0'0,"0"0"0,0 0 0,-1 0 0,1 0 0,0 0 0,0 0 0,0 0 0,-1 0 0,1 0 0,0 0 0,0 0 0,0 0 0,-1 0 0,1 0 0,0 0 0,0 0 0,0 0 0,-1 0 0,1 1 0,0-1 0,0 0 0,0 0 0,-1 0 0,1 0 0,0 0 0,0 0 0,0 1 0,0-1 0,0 0 0,-1 0 0,1 0 0,0 0 0,0 1 0,0-1 0,0 0 0,0 0 0,0 0 0,0 1 0,0-1 0,0 0 0,0 0 0,0 1 0,6 10 0,12 7 0,-2-7 0,-1 0 0,2-1 0,27 13 0,-39-20 0,0-1 0,1 0 0,-1 0 0,1-1 0,-1 1 0,1-1 0,0 0 0,0-1 0,0 0 0,-1 0 0,1 0 0,0 0 0,0-1 0,-1 0 0,1 0 0,6-3 0,-9 4 0,-1-1 0,0 0 0,0 0 0,0-1 0,-1 1 0,1 0 0,0-1 0,0 1 0,-1-1 0,1 1 0,-1-1 0,1 0 0,-1 0 0,0 0 0,1 0 0,-1 0 0,0 0 0,-1 0 0,2-3 0,-1 1 0,0 0 0,-1 0 0,1 0 0,-1 1 0,0-1 0,-1 0 0,1 0 0,0 0 0,-1 0 0,0 1 0,-1-5 0,0 3 0,0-1 0,0 1 0,0 0 0,-1 0 0,0 0 0,0 1 0,0-1 0,0 1 0,-1-1 0,0 1 0,0 0 0,0 0 0,0 1 0,-1-1 0,1 1 0,-8-4 0,7 6-124,0-1 0,0 1 0,-1 0 0,1 0 0,0 0 0,-1 1-1,1 0 1,-1 0 0,1 0 0,-6 1 0,-8 4-6702</inkml:trace>
  <inkml:trace contextRef="#ctx0" brushRef="#br0" timeOffset="2088.77">1342 0 24575,'-1'6'0,"0"-1"0,0 1 0,-1-1 0,0 0 0,0 0 0,0 0 0,-1 0 0,1 0 0,-1 0 0,-6 6 0,2 0 0,-106 151 0,25-37 0,-69 96 0,-96 150 0,145-172 0,94-172-1365,2-6-5461</inkml:trace>
  <inkml:trace contextRef="#ctx0" brushRef="#br0" timeOffset="3033.42">918 1094 24575,'2'1'0,"0"-1"0,-1 1 0,1 0 0,0 0 0,-1 0 0,1 0 0,-1 0 0,1 0 0,-1 0 0,0 1 0,1-1 0,-1 0 0,0 1 0,1 1 0,8 8 0,4-1 0,0-1 0,0 0 0,1-1 0,0-1 0,0 0 0,0-1 0,1 0 0,0-1 0,1-1 0,-1-1 0,1 0 0,-1-1 0,34-1 0,-46-2 0,0 1 0,0-1 0,0 0 0,0 0 0,0-1 0,0 1 0,0-1 0,0 0 0,-1 0 0,1 0 0,-1-1 0,1 1 0,-1-1 0,0 0 0,0 0 0,0 0 0,0 0 0,-1 0 0,1-1 0,2-5 0,-2 3 0,0 0 0,0-1 0,-1 1 0,0-1 0,0 0 0,-1 1 0,0-1 0,0 0 0,-1 0 0,1 0 0,-3-12 0,2 16 0,0 0 0,-1 1 0,0-1 0,0 1 0,0-1 0,0 1 0,0-1 0,0 1 0,-1 0 0,1-1 0,-1 1 0,0 0 0,1 0 0,-1 0 0,0 0 0,0 1 0,0-1 0,0 0 0,-1 1 0,1-1 0,0 1 0,-1 0 0,1 0 0,-1 0 0,1 0 0,-1 0 0,0 1 0,-4-2 0,-9 0 0,1 0 0,-1 2 0,-28 0 0,28 1 0,8-1 0,-15 0 0,0 1 0,0 0 0,0 2 0,1 1 0,-1 1 0,-27 9 0,45-11-4,1 0-1,-1 0 1,1 0-1,0 0 1,0 1-1,0 0 1,0 0 0,0 0-1,1 0 1,0 1-1,0-1 1,0 1-1,1 0 1,-1 0-1,-2 9 1,-7 11-1290,0-4-5532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7-20T23:54:19.203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131 723 24575,'0'7'0,"0"0"0,-1-1 0,0 1 0,-1 0 0,0-1 0,0 1 0,0-1 0,0 0 0,-1 0 0,-6 10 0,-2 2 0,-29 32 0,27-34 0,-22 33 0,34-48 0,0 0 0,0 0 0,1 0 0,-1 1 0,0-1 0,1 0 0,-1 0 0,1 1 0,0-1 0,-1 0 0,1 1 0,0-1 0,0 1 0,0-1 0,0 0 0,0 1 0,0-1 0,0 0 0,0 1 0,0-1 0,1 1 0,-1-1 0,1 0 0,-1 0 0,1 1 0,-1-1 0,1 0 0,0 0 0,0 0 0,-1 1 0,1-1 0,0 0 0,0 0 0,0 0 0,0-1 0,2 3 0,3 1 0,1 0 0,0-1 0,0 0 0,0 0 0,10 3 0,-3-2 0,25 8 0,-23-7 0,1 0 0,-1 1 0,22 12 0,-35-17 0,1 1 0,-1 0 0,0 0 0,0 1 0,-1-1 0,1 1 0,0-1 0,0 1 0,-1 0 0,1 0 0,-1 0 0,0 0 0,0 1 0,0-1 0,0 0 0,-1 1 0,1 0 0,-2-1 0,1 1 0,1 7 0,-2-9 0,0 1 0,0-1 0,-1 0 0,1 0 0,-1 1 0,1-1 0,-1 0 0,1 0 0,-1 1 0,0-1 0,0 0 0,0 0 0,-1 0 0,1 0 0,-1-1 0,1 1 0,-1 0 0,1 0 0,-1-1 0,0 1 0,0-1 0,0 0 0,-4 2 0,-4 4 0,-1-1 0,0-1 0,-13 4 0,19-7 0,-60 21-1365,48-17-5461</inkml:trace>
  <inkml:trace contextRef="#ctx0" brushRef="#br0" timeOffset="1772.68">387 353 24575,'0'710'0,"0"-704"0,1 1 0,-1-1 0,1 0 0,0 0 0,1 1 0,-1-1 0,1 0 0,0 0 0,0 0 0,1 0 0,-1-1 0,2 1 0,-1-1 0,1 0 0,6 7 0,-7-9 0,-1 0 0,1 0 0,0-1 0,1 1 0,-1-1 0,1 0 0,-1 0 0,1-1 0,-1 1 0,1-1 0,0 1 0,0-1 0,0 0 0,0-1 0,0 1 0,0-1 0,0 0 0,0 0 0,0 0 0,0 0 0,0-1 0,0 0 0,0 0 0,5-2 0,7-2 0,-2-2 0,0 1 0,0-2 0,0 0 0,-2-1 0,1 0 0,0-1 0,-1 0 0,0-1 0,18-23 0,-23 25 0,0-1 0,0 0 0,0 0 0,-1-1 0,-2 0 0,2 0 0,-2 0 0,1-1 0,-2 0 0,0 1 0,0-1 0,-1-1 0,0 1 0,-2-22 0,-6 146 0,5-68 0,2 113 0,-1-153 0,0 1 0,1-1 0,-1 1 0,1-1 0,1 1 0,-1-1 0,0 0 0,0 0 0,1 0 0,0 1 0,0-2 0,1 1 0,-1 0 0,1 0 0,0-1 0,0 1 0,4 3 0,-4-4 0,1-1 0,1 1 0,-1-1 0,0 0 0,1 0 0,-1 0 0,0-1 0,1 0 0,-1 1 0,1-2 0,0 1 0,0 0 0,-1-1 0,1 0 0,-1 0 0,8-2 0,-2 0 0,0 0 0,0-1 0,-1-1 0,1 1 0,0-2 0,-2 1 0,2-1 0,-1-1 0,0 0 0,-2 0 0,14-12 0,-4 1 0,0-1 0,0-1 0,23-35 0,-34 44 0,1 0 0,-2 0 0,1 0 0,-2-1 0,0 1 0,0-1 0,-1 0 0,3-14 0,-5 17 0,0 1 0,-1 0 0,0 0 0,0 0 0,-1-1 0,0 1 0,0 0 0,-1 0 0,1 0 0,-2 0 0,1 0 0,-1 1 0,0-1 0,-4-7 0,1 3 0,0 1 0,-1 0 0,0 1 0,-1-1 0,0 1 0,-12-10 0,15 15 0,0 1 0,0-1 0,0 1 0,0 0 0,-1 1 0,0-1 0,0 1 0,0 0 0,1 1 0,-1-1 0,0 1 0,0 1 0,-1-1 0,-5 1 0,-49 3-1365,44-2-5461</inkml:trace>
  <inkml:trace contextRef="#ctx0" brushRef="#br0" timeOffset="2373.02">1359 653 24575,'1'1'0,"0"-1"0,0 1 0,-1-1 0,1 1 0,0-1 0,-1 1 0,1-1 0,0 1 0,-1 0 0,1-1 0,-1 1 0,1 0 0,-1 0 0,0-1 0,1 1 0,-1 0 0,0 0 0,1 0 0,-1-1 0,0 1 0,0 0 0,0 0 0,0 0 0,0 0 0,0 0 0,0 0 0,0-1 0,0 1 0,0 1 0,0 3 0,8 359 0,-9-245 0,0-17 0,5 151 0,-4-248 0,1 7 0,0 0 0,0-1 0,1 1 0,1-1 0,6 19 0,-4-22-1365</inkml:trace>
  <inkml:trace contextRef="#ctx0" brushRef="#br0" timeOffset="3226.47">1410 635 24575,'1'0'0,"-1"-1"0,0 0 0,0 1 0,0-1 0,1 0 0,-1 1 0,0-1 0,1 1 0,-1-1 0,1 0 0,-1 1 0,1-1 0,-1 1 0,1-1 0,-1 1 0,1 0 0,-1-1 0,1 1 0,-1-1 0,1 1 0,0 0 0,-1 0 0,1-1 0,0 1 0,-1 0 0,1 0 0,0 0 0,0 0 0,22-4 0,-20 4 0,4 0 0,1-1 0,0 1 0,0 1 0,-2 0 0,2 0 0,0 1 0,-1-1 0,0 2 0,0-1 0,1 1 0,-1 0 0,-1 0 0,1 1 0,-1 0 0,1 1 0,-1-1 0,-1 1 0,1 0 0,5 6 0,-4-3 0,-1 1 0,0-1 0,0 1 0,-1 0 0,0 0 0,0 1 0,-2-1 0,0 1 0,1 0 0,-1 0 0,-1 0 0,0 1 0,1 18 0,-3-21 0,2 15 0,-1 0 0,-2 0 0,-3 28 0,3-46 0,0 0 0,0 1 0,0-1 0,-1 0 0,0 0 0,0 0 0,0 0 0,0-1 0,-1 1 0,1 0 0,-1-1 0,0 0 0,0 0 0,-1 0 0,0 0 0,0 0 0,0-1 0,1 1 0,-9 4 0,-6 0 58,-2-1 0,2 0 0,-39 6 1,-5 3-1657,43-11-5228</inkml:trace>
  <inkml:trace contextRef="#ctx0" brushRef="#br0" timeOffset="4533.21">1769 988 24575,'2'-1'0,"0"-1"0,0 1 0,0-1 0,0 1 0,1 0 0,-2 0 0,1 0 0,0 0 0,1 1 0,-1-1 0,5 0 0,31-3 0,-18 2 0,132-25 0,-133 21 0,1 0 0,0-1 0,-2-1 0,2 0 0,25-18 0,-40 22 0,0 0 0,-1 0 0,0 0 0,0 0 0,0-1 0,0 0 0,0 1 0,-1-2 0,1 1 0,-2 0 0,0 0 0,1-1 0,3-11 0,-3 6 0,-1 0 0,0 0 0,0 0 0,-2 0 0,1 0 0,-2-20 0,0 29 0,1 0 0,0 0 0,-1 0 0,1 1 0,-1-1 0,0 0 0,0 1 0,1-1 0,-1 0 0,0 1 0,0-1 0,-1 1 0,1-1 0,0 1 0,0 0 0,-1-1 0,1 1 0,-1 0 0,1 0 0,0 0 0,0 0 0,-1 0 0,0 0 0,0 1 0,1-1 0,-1 0 0,0 1 0,0 0 0,-3-1 0,-5-1 0,-2 1 0,1 1 0,-20 1 0,14 0 0,7-1 0,1 1 0,-1 0 0,0 0 0,2 1 0,-2 0 0,0 1 0,1 0 0,-13 7 0,18-8 0,0 0 0,1 1 0,-1 0 0,0-1 0,1 2 0,-1-1 0,1 0 0,0 1 0,0-1 0,0 1 0,1 0 0,0 0 0,0 0 0,-1 0 0,2 1 0,-1-1 0,0 0 0,1 1 0,-2 8 0,-1 26 0,2 1 0,4 72 0,1-28 0,-3-71 0,0 0 0,1 0 0,1 0 0,0 0 0,7 24 0,-8-33 0,0-1 0,1 0 0,-1 0 0,0 0 0,1 0 0,0 0 0,0 0 0,1 0 0,-1-1 0,0 1 0,1-1 0,0 1 0,0-1 0,0 0 0,0 0 0,-1 0 0,1-1 0,0 1 0,0-1 0,1 0 0,-1 0 0,0 0 0,1 0 0,-1 0 0,0-1 0,5 1 0,137-2 270,-58-2-1905,-63 3-5191</inkml:trace>
  <inkml:trace contextRef="#ctx0" brushRef="#br0" timeOffset="5256.56">2553 864 24575,'3'0'0,"4"0"0,4 0 0,2 0 0,3 0 0,4 0 0,1 0 0,0 0 0,3 0 0,0 0 0,-5 0-8191</inkml:trace>
  <inkml:trace contextRef="#ctx0" brushRef="#br0" timeOffset="5859.64">2519 1076 24575,'3'0'0,"4"0"0,10 0 0,4 0 0,5 0 0,-3-3 0,-2-1 0,0 0 0,0-2 0,0 0 0,0 1 0,1-2 0,1 1 0,-2 1 0,-12 1 0,-22 2 0,-10 0-8191</inkml:trace>
  <inkml:trace contextRef="#ctx0" brushRef="#br0" timeOffset="7273.91">3150 529 24575,'0'189'0,"1"206"0,0-364 0,2 1 0,0-1 0,3 0 0,9 37 0,-9-50 0,0-2 0,-1 1 0,3-1 0,0 0 0,1 0 0,0-1 0,1 0 0,21 23 0,-27-33 0,1 0 0,-1-1 0,2 0 0,-1 0 0,1 0 0,0 0 0,-1-1 0,1 0 0,0 0 0,0-1 0,0 0 0,0 0 0,1 0 0,12 0 0,-10-1 0,0-1 0,1-1 0,-2 0 0,1 0 0,1-1 0,-2 0 0,1 0 0,0-1 0,14-8 0,-7 4 0,-2-2 0,0 0 0,-1-1 0,1 0 0,-2-1 0,1 0 0,-2-1 0,1-1 0,-1 0 0,-1 0 0,12-21 0,-17 23 0,0 1 0,0-1 0,-1 0 0,0 0 0,0 0 0,-2-1 0,3-21 0,-5 30 0,1-1 0,-1 1 0,0 0 0,0-1 0,-1 1 0,1 0 0,-1-1 0,1 1 0,-1 0 0,1 0 0,-1 0 0,-1-1 0,1 1 0,-1 1 0,1-1 0,-1 0 0,0 0 0,0 0 0,0 1 0,0-1 0,-1 1 0,1 0 0,-1 0 0,1 0 0,-1 0 0,1 0 0,-1 0 0,0 1 0,0-1 0,0 1 0,-5-1 0,-2-1 0,-1 0 0,-1 1 0,1 1 0,-1 0 0,2 0 0,-2 1 0,-20 3 0,26-2 0,-1 0 0,2 0 0,-2 1 0,1 0 0,-1 0 0,1 1 0,1-1 0,-1 1 0,0 1 0,0-1 0,1 1 0,1 0 0,-2 0 0,1 0 0,-5 7 0,-4 11 0,0 1 0,1 0 0,1 1 0,0 1 0,3 0 0,-11 37 0,19-60 0,1-1 0,0 0 0,0 0 0,0 1 0,0-1 0,-1 0 0,1 0 0,0 1 0,0-1 0,0 0 0,0 1 0,1-1 0,-1 0 0,0 1 0,0-1 0,0 0 0,0 0 0,1 1 0,-1-1 0,1 0 0,0 0 0,-1 0 0,1 0 0,0 0 0,0 0 0,0 0 0,-1 0 0,1 0 0,0 0 0,0 0 0,1 0 0,-1-1 0,0 1 0,0 0 0,0-1 0,0 1 0,1-1 0,-1 1 0,3-1 0,2 2 0,2-1 0,0 0 0,0 0 0,-1-1 0,15-1 0,34-8-1365,1-6-5461</inkml:trace>
  <inkml:trace contextRef="#ctx0" brushRef="#br0" timeOffset="8026.62">4038 459 24575,'0'0'0,"0"0"0,0 0 0,0 0 0,0 0 0,0 0 0,0 0 0,0-1 0,-1 1 0,1 0 0,0 0 0,0 0 0,0 0 0,0 0 0,0 0 0,0 0 0,-1 0 0,1 0 0,0 0 0,0 0 0,0 0 0,0 0 0,-1 0 0,1 0 0,0 0 0,0 0 0,0 0 0,0 0 0,0 0 0,-1 0 0,1 0 0,0 0 0,0 0 0,0 0 0,0 0 0,0 0 0,0 1 0,-1-1 0,1 0 0,0 0 0,0 0 0,0 0 0,0 0 0,0 0 0,0 0 0,0 1 0,-1-1 0,-3 11 0,0 13 0,3-10 0,-1 1 0,0 0 0,2 0 0,0 0 0,0 0 0,0 0 0,4 15 0,-3-28 0,-1-1 0,1 1 0,-1-1 0,1 1 0,0-1 0,0 1 0,0-1 0,-1 1 0,1-1 0,1 0 0,-1 0 0,0 1 0,0-1 0,0 0 0,1 0 0,-1 0 0,0 0 0,1 0 0,-1-1 0,1 1 0,-1 0 0,1-1 0,-2 1 0,2-1 0,0 1 0,-1-1 0,1 0 0,-1 0 0,1 1 0,0-1 0,-1 0 0,1-1 0,0 1 0,-1 0 0,1 0 0,0-1 0,-1 1 0,3-2 0,-1 1 0,0 0 0,0 0 0,1-1 0,-1 0 0,1 0 0,-1 0 0,0 0 0,0 0 0,0-1 0,-1 1 0,1-1 0,-1 0 0,1 0 0,-1 0 0,4-5 0,2-10 0,-2 0 0,7-21 0,-11 32 0,-1 1 0,1-1 0,-1 1 0,-1-1 0,1 1 0,-1-1 0,0 0 0,-1 1 0,-2-14 0,2 17 13,0 1 1,-1-1-1,1 1 0,-1-1 0,0 1 0,0-1 0,0 1 0,0 0 0,0 0 1,1 0-1,-2 0 0,1 0 0,-1 1 0,1-1 0,-1 1 0,1 0 0,-1-1 1,0 1-1,0 0 0,0 1 0,0-1 0,1 0 0,-1 1 0,0 0 0,-4-1 1,-5 1-356,1-1 1,-2 2 0,2-1-1,-23 6 1,15-2-6485</inkml:trace>
  <inkml:trace contextRef="#ctx0" brushRef="#br0" timeOffset="8642.73">4668 88 24575,'1'1'0,"-1"0"0,0 0 0,1-1 0,-1 1 0,0 0 0,0 0 0,0-1 0,1 1 0,-1 0 0,0 0 0,0 0 0,0 0 0,-1-1 0,1 1 0,0 0 0,0 0 0,0 0 0,0-1 0,-1 1 0,1 0 0,0 0 0,-1 0 0,0 6 0,-20 62 0,-41 96 0,-42 63 0,66-149 0,-203 479 0,180-408 0,-125 364 0,83-115 0,98-386-1365</inkml:trace>
  <inkml:trace contextRef="#ctx0" brushRef="#br0" timeOffset="9438.14">4123 1799 24575,'1'0'0,"-1"0"0,0 0 0,0-1 0,0 1 0,0 0 0,0 0 0,0-1 0,1 1 0,-1 0 0,0 0 0,0 0 0,0-1 0,1 1 0,-1 0 0,0 0 0,0 0 0,1 0 0,-1 0 0,0 0 0,0-1 0,1 1 0,-1 0 0,0 0 0,0 0 0,1 0 0,-1 0 0,0 0 0,0 0 0,1 0 0,-1 0 0,0 0 0,0 0 0,1 0 0,-1 0 0,0 1 0,0-1 0,1 0 0,-1 0 0,0 0 0,0 0 0,1 0 0,-1 0 0,0 1 0,0-1 0,0 0 0,1 0 0,-1 0 0,0 1 0,0-1 0,13 9 0,1 5 0,-9-7 0,2-1 0,-1 1 0,2-2 0,9 8 0,-16-11 0,1-2 0,0 1 0,-1 0 0,1 0 0,0 0 0,0-1 0,0 1 0,0-1 0,0 1 0,0-1 0,-1 0 0,0 0 0,1 0 0,0 0 0,0 0 0,0 0 0,0-1 0,0 1 0,0-1 0,0 1 0,0-1 0,-1 1 0,1-1 0,0 0 0,0 0 0,1-2 0,-2 2 0,1 0 0,0-1 0,-1 1 0,1-1 0,-1 1 0,0-1 0,1 1 0,-1-1 0,0 0 0,0 0 0,0 0 0,0 0 0,-1 1 0,1-1 0,0 0 0,-1 0 0,1 0 0,-1 0 0,0 0 0,0-1 0,0-2 0,0 3 0,0 0 0,-1 1 0,1-1 0,-1 1 0,1-1 0,-1 1 0,0-1 0,1 1 0,-1-1 0,0 1 0,0 0 0,0-1 0,0 1 0,0 0 0,-1 0 0,1 0 0,0 0 0,0 0 0,-1 0 0,1 0 0,-1 0 0,2 0 0,-2 1 0,1-1 0,-1 1 0,1-1 0,-4 0 0,-15-2 0,-1 2 0,1-1 0,0 2 0,-38 5 0,51-4-114,0 0 1,0 1-1,1 0 0,-1 0 0,0 1 1,1 0-1,-1 0 0,2 0 0,-1 1 1,-1 0-1,-5 5 0,-19 17-6712</inkml:trace>
  <inkml:trace contextRef="#ctx0" brushRef="#br0" timeOffset="10176.64">472 2469 24575,'6'0'0,"10"0"0,38-9 0,27-8 0,28-6 0,25 3 0,2-3 0,-14 4 0,-26 4 0,-27 5-8191</inkml:trace>
  <inkml:trace contextRef="#ctx0" brushRef="#br0" timeOffset="10776.84">1240 2417 24575,'-9'3'0,"-2"4"0,0 4 0,2 8 0,2 8 0,4 2 0,1 2 0,1-1 0,1-3 0,0 4 0,1 1 0,-1 5 0,1 0 0,-1-5 0,0-1 0,-3 1 0,-1-6-8191</inkml:trace>
  <inkml:trace contextRef="#ctx0" brushRef="#br0" timeOffset="11287.71">831 3016 24575,'9'0'0,"8"0"0,10-6 0,13-5 0,10-6 0,9-4 0,6-4 0,5-4 0,5-3 0,-7 5 0,-6-1 0,-9 3 0,-9 2 0,-9 5 0,-5 3 0,-4 0 0,-4 4 0,-5 3-8191</inkml:trace>
  <inkml:trace contextRef="#ctx0" brushRef="#br0" timeOffset="12145.77">1649 2593 24575,'0'74'0,"1"79"0,2-138 0,-3-15 0,0 0 0,0 0 0,1 1 0,-1-1 0,0 0 0,0 0 0,0 0 0,0 0 0,0 0 0,0 0 0,1 0 0,-1 0 0,0 0 0,0 1 0,0-1 0,0 0 0,1 0 0,-1 0 0,0 0 0,0 0 0,0 0 0,0 0 0,1 0 0,-1 0 0,0 0 0,0 0 0,0 0 0,0 0 0,0-1 0,1 1 0,-1 0 0,0 0 0,0 0 0,0 0 0,0 0 0,0 0 0,1 0 0,-1 0 0,0 0 0,0 0 0,0-1 0,14-22 0,5-23 0,-2 0 0,21-94 0,-28 96 0,-10 44 0,2-10 0,1 1 0,0 0 0,7-13 0,-10 21 0,1-1 0,-1 1 0,1 0 0,-1 0 0,1 0 0,-1 0 0,1 0 0,0-1 0,0 1 0,0 1 0,-1-1 0,0 0 0,1 0 0,0 0 0,1 0 0,-1 1 0,0-1 0,0 0 0,0 1 0,0-1 0,0 1 0,1 0 0,-1-1 0,0 1 0,0 0 0,1-1 0,-1 1 0,0 0 0,1 0 0,-1 0 0,0 0 0,0 1 0,1-1 0,-1 0 0,2 1 0,-2 0 0,1 1 0,0-1 0,0 1 0,-1-1 0,1 1 0,-1-1 0,0 1 0,1 0 0,-1 0 0,0 0 0,0 0 0,0 0 0,0 0 0,0 0 0,-1 0 0,1 0 0,0 0 0,0 4 0,3 45 0,-3-42 0,-1 251 0,-3-119 0,3-139 1,1 9-228,-1 1-1,-1-1 0,0 0 0,-1 1 1,-5 19-1,0-13-6598</inkml:trace>
  <inkml:trace contextRef="#ctx0" brushRef="#br0" timeOffset="12833.57">2212 2134 24575,'-1'0'0,"0"1"0,0-1 0,0 0 0,-1 1 0,1-1 0,0 1 0,0 0 0,0-1 0,0 1 0,0 0 0,0-1 0,0 1 0,0 0 0,0 0 0,0 0 0,0 0 0,1 0 0,0 0 0,-1 0 0,1 0 0,-1 0 0,0 0 0,1 0 0,0 1 0,-1-1 0,1 0 0,-1 3 0,-6 39 0,7-38 0,-6 336 0,8-211 0,-2 94-1365,0-204-5461</inkml:trace>
  <inkml:trace contextRef="#ctx0" brushRef="#br0" timeOffset="13766.71">2314 2910 24575,'9'-1'0,"-1"0"0,0-1 0,-1 0 0,1 0 0,9-6 0,-4 3 0,33-16 0,13-4 0,-5 12 0,0 3 0,-1 2 0,67-1 0,-119 9 0,6-1 0,-1 1 0,1-1 0,0 0 0,0-1 0,0 0 0,-2 0 0,2 0 0,11-6 0,-16 6 0,1 0 0,0-1 0,0 1 0,0 0 0,-1-1 0,1 0 0,-1 1 0,0-1 0,0 0 0,0 0 0,0 0 0,-2-1 0,2 1 0,-1 0 0,0-1 0,1 1 0,-2-1 0,2-6 0,0 3 0,-1-1 0,-1 0 0,1 1 0,-1-1 0,-1 0 0,1 0 0,-1 0 0,-3-12 0,3 17 0,0 0 0,-1 0 0,1 1 0,0-1 0,0 0 0,-1 1 0,1-1 0,-1 1 0,0 0 0,0-1 0,0 1 0,-1 0 0,1 0 0,0 1 0,-1-1 0,1 0 0,-1 1 0,1-1 0,0 1 0,-1 0 0,0 0 0,0 0 0,0 0 0,0 1 0,-3-1 0,-4 0 0,-2 0 0,0 0 0,1 2 0,0-1 0,0 2 0,-1-1 0,1 2 0,0-1 0,0 2 0,0-1 0,1 1 0,-1 1 0,1 0 0,0 1 0,0 0 0,0 0 0,2 1 0,-1 1 0,0-1 0,-8 11 0,3-3 0,2 0 0,0 1 0,2 0 0,-1 1 0,1 0 0,2 1 0,-1 0 0,2 0 0,0 1 0,2 0 0,-5 23 0,6-27 0,2 0 0,0 1 0,1-1 0,0 0 0,2 1 0,1 17 0,-1-29 0,0 1 0,0-1 0,0 1 0,1-1 0,-1 0 0,1 1 0,0-1 0,0 0 0,1 0 0,-1 0 0,0-1 0,1 1 0,0 0 0,0-1 0,0 0 0,0 0 0,1 0 0,0 0 0,0-1 0,-2 1 0,2-1 0,1 0 0,-1 0 0,8 2 0,5 0 0,1-1 0,1-1 0,-2-1 0,2 0 0,-1-1 0,22-4 0,15 1 0,74 3 0,52-1 0,-175 1 0,0-1 0,-1 1 0,0-1 0,1-1 0,-1 1 0,1-1 0,-1 1 0,0-2 0,6-2 0,-8 3 0,0 0 0,-1 0 0,1 0 0,-1 0 0,0 0 0,1-1 0,-2 1 0,1-1 0,0 1 0,-1-1 0,1 0 0,-1 0 0,1 0 0,-1 0 0,0 0 0,0 0 0,1-5 0,1-11-341,-2 0 0,0 0-1,-2-32 1,-1 28-6485</inkml:trace>
  <inkml:trace contextRef="#ctx0" brushRef="#br0" timeOffset="14531.73">3150 2699 24575,'0'296'0,"-1"-417"0,6-180 0,-4 285 0,1-1 0,1 2 0,0-1 0,1 0 0,0 1 0,8-16 0,-10 27 0,-1 1 0,1-1 0,0 1 0,0 0 0,0 0 0,-1 0 0,2 0 0,-1 0 0,1 0 0,0 1 0,0-1 0,0 1 0,0 0 0,0 0 0,0 0 0,0 0 0,0 1 0,1-1 0,-1 1 0,1 0 0,0 0 0,-1 0 0,1 0 0,0 1 0,-1-1 0,0 1 0,1 0 0,0 0 0,0 1 0,0-1 0,4 2 0,4 1 0,-1 1 0,-1 0 0,1 0 0,0 1 0,-2 0 0,2 1 0,-1 0 0,15 14 0,-18-15 0,-2 1 0,0-1 0,1 1 0,-1 0 0,0 1 0,-1-1 0,0 1 0,1 0 0,-2 0 0,1 1 0,-1-1 0,0 1 0,3 13 0,-6-19-59,1-1 0,-1 1-1,0-1 1,0 1-1,0 0 1,0-1 0,0 1-1,0-1 1,0 1 0,-1 0-1,1-1 1,-1 1 0,1-1-1,-1 1 1,1-1-1,-1 1 1,0-1 0,0 1-1,0-1 1,0 0 0,0 0-1,-2 3 1,-13 8-6767</inkml:trace>
  <inkml:trace contextRef="#ctx0" brushRef="#br0" timeOffset="15253.1">2109 2469 24575,'3'0'0,"7"0"0,4 0 0,13 0 0,3 0 0,11 0 0,6 0 0,5 0 0,6 0 0,-5 0 0,-8 0 0,-2-3 0,-9-4 0,-11 0-8191</inkml:trace>
  <inkml:trace contextRef="#ctx0" brushRef="#br0" timeOffset="17270.89">3799 2611 24575,'-35'38'0,"2"1"0,-29 43 0,44-53 0,1 0 0,0 1 0,2 1 0,-11 33 0,21-49 0,0-1 0,2 1 0,-1 0 0,2 1 0,-2 17 0,4-27 0,0 0 0,0 0 0,1 0 0,0 1 0,0-1 0,0 0 0,1 0 0,-1-1 0,1 1 0,1 0 0,-1 0 0,1-1 0,0 0 0,1 1 0,4 6 0,0-4 0,0 0 0,0-1 0,0 0 0,1 0 0,1-1 0,-1 0 0,0-1 0,2 0 0,-2 0 0,2-1 0,-1-1 0,20 5 0,-1-3 0,0-2 0,1-1 0,43-2 0,-68 0 0,0 0 0,-1-1 0,0 1 0,1-1 0,-1 0 0,1 0 0,-1-1 0,1 1 0,-1-1 0,-1 0 0,2 0 0,-1 0 0,0-1 0,0 0 0,-1 1 0,1-1 0,-1-1 0,0 1 0,0 0 0,0-1 0,0 0 0,0 0 0,-1 0 0,1 0 0,-1 0 0,3-6 0,1-7 0,0 1 0,0-1 0,-1 0 0,0 0 0,-2-1 0,-1 1 0,0-1 0,-1 0 0,0 1 0,-3-25 0,2 40 0,0 0 0,-1 0 0,1 1 0,-1-1 0,1 0 0,-1 0 0,1 0 0,-1 1 0,1-1 0,-1 0 0,0 1 0,0-1 0,0 1 0,0-1 0,0 1 0,0 0 0,-1-1 0,1 1 0,-1 0 0,-2-2 0,2 2 0,-1-1 0,0 1 0,0 0 0,0 1 0,2-1 0,-2 0 0,0 1 0,0 0 0,0-1 0,0 1 0,0 0 0,-3 1 0,1 0 0,0-1 0,-1 1 0,1 1 0,0-1 0,-1 1 0,2 0 0,-1 0 0,0 1 0,0-1 0,1 1 0,-1 0 0,2 1 0,-9 6 0,6-1 0,0 0 0,1 1 0,1 0 0,-1 0 0,1 1 0,0-1 0,1 1 0,0 0 0,1 0 0,1 0 0,-1 0 0,1 0 0,1 0 0,0 1 0,1-1 0,0 0 0,1 0 0,0 0 0,1 0 0,0 0 0,0-1 0,9 17 0,-10-23 0,0-1 0,1 1 0,0-1 0,0 0 0,0 0 0,1 0 0,-1 0 0,1 0 0,0-1 0,-1 1 0,1-1 0,0 0 0,0 0 0,0-1 0,0 1 0,1-1 0,-2 0 0,9 1 0,6 0 0,2-1 0,-2-1 0,22-2 0,-7 0 0,358-2 0,-322-3 0,-62 6 0,-1 0 0,0-1 0,0 0 0,0 0 0,0 0 0,0-1 0,-1 0 0,9-6 0,-14 9 7,1 0 0,-1 0 0,1 0 0,-1 0 0,1-1 0,-1 1 0,1 0 0,-1-1 0,0 1 0,1 0 0,-1-1 0,0 1 0,1 0 0,-1-1 0,0 1 0,0 0 0,1-1 0,-1 1 0,0-1 0,0 1 0,1-1 0,-1 1-1,0-1 1,0 1 0,0-1 0,0 1 0,0-1 0,0 1 0,0-1 0,0 1 0,0-1 0,0 1 0,0 0 0,0-1 0,0 1 0,0-1 0,-1 1 0,1-1 0,0 1 0,0-1 0,0 1 0,-1-1 0,1 1 0,0 0 0,-1-1 0,1 1 0,0 0 0,-1-1 0,-21-9-1714,-6 4-5119</inkml:trace>
  <inkml:trace contextRef="#ctx0" brushRef="#br0" timeOffset="17839.78">4396 2822 24575,'1'4'0,"-1"0"0,1 0 0,0-1 0,0 1 0,0 0 0,0-1 0,3 6 0,3 9 0,22 67 0,-5 0 0,22 135 0,-6 27 0,-20-136 0,-14-71 0,0-1 0,19 60 0,-14-79 171,-11-20-167,0 0-1,0 0 1,0 0 0,0 0-1,0 0 1,1 1 0,-1-1 0,0 0-1,0 0 1,0 0 0,1 0-1,-1 0 1,0 0 0,0 0 0,0 0-1,0 0 1,1 0 0,-1 0-1,0 0 1,0 0 0,0 0 0,1 0-1,-1 0 1,0 0 0,0 0-1,0 0 1,1 0 0,-1 0 0,0 0-1,0 0 1,0 0 0,0 0-1,1-1 1,-1 1 0,0 0-1,0 0 1,0 0 0,0 0 0,0 0-1,1-1 1,-1 1 0,0 0-1,0 0 1,0 0 0,0-1 0,2-2-218,-1-1 1,0 0 0,0 0-1,0 0 1,0 0 0,-1 0-1,1-4 1,1-23-6613</inkml:trace>
  <inkml:trace contextRef="#ctx0" brushRef="#br0" timeOffset="18411.99">4498 2681 24575,'4'1'0,"-1"0"0,0 0 0,0 1 0,-1-1 0,1 0 0,0 1 0,-1 0 0,0 0 0,1 0 0,-1 0 0,1 0 0,2 4 0,2 0 0,16 16 0,32 37 0,-45-47 0,-2 1 0,1-1 0,0 2 0,-1-1 0,7 21 0,-12-23 0,0 0 0,0 0 0,-1 0 0,-1 0 0,0 1 0,0-1 0,-1 1 0,0-1 0,-1 0 0,-5 20 0,-2 5 0,-2-2 0,-13 35 0,23-68 0,-10 26 171,-24 47 0,30-67-303,0 0 1,0 0 0,-1-1-1,0 0 1,1 0 0,-1 0 0,-1-1-1,0 1 1,0-1 0,1-1 0,-2 1-1,-7 3 1,-6 0-6695</inkml:trace>
  <inkml:trace contextRef="#ctx0" brushRef="#br0" timeOffset="19300.68">4925 2417 24575,'0'0'0,"-1"1"0,1-1 0,-1 0 0,1 1 0,0-1 0,-1 0 0,1 1 0,-1-1 0,1 1 0,-1-1 0,1 1 0,0-1 0,-1 1 0,1-1 0,0 1 0,0-1 0,-1 1 0,1-1 0,0 1 0,0-1 0,0 1 0,0-1 0,0 1 0,0 0 0,0 0 0,-3 19 0,3-16 0,-9 114 0,9 121 0,1-105 0,-1-129 0,0 1 0,1 0 0,-1-1 0,1 1 0,0-1 0,0 1 0,1-1 0,-1 0 0,5 10 0,-4-13 0,-1 0 0,1 0 0,0 1 0,0-1 0,0 0 0,-1-1 0,1 1 0,0 0 0,0-1 0,1 1 0,-1-1 0,1 0 0,-1 0 0,1 0 0,-1 0 0,1 0 0,0 0 0,-1-1 0,0 1 0,1-1 0,0 0 0,2 0 0,27 0 236,-25-1-414,-1 1 0,0 0 0,1 0 0,0 1 0,-1-1 1,0 1-1,1 1 0,9 3 0,-4 1-6648</inkml:trace>
  <inkml:trace contextRef="#ctx0" brushRef="#br0" timeOffset="19947.05">4754 2611 24575,'411'0'-1365,"-396"0"-5461</inkml:trace>
  <inkml:trace contextRef="#ctx0" brushRef="#br0" timeOffset="20593.72">5385 2646 24575,'6'0'0,"5"0"0,3 0 0,5 0 0,3 0 0,0 3 0,-1 1 0,2 0 0,0-1 0,-1 0 0,1-2 0,0 0 0,0-1 0,-3 0 0,-4 3 0,-4 6 0,-4 3-8191</inkml:trace>
  <inkml:trace contextRef="#ctx0" brushRef="#br0" timeOffset="21090.38">5385 2963 24575,'4'0'0,"11"0"0,10 0 0,9-6 0,2-2 0,-3-2 0,3-3 0,-3-2 0,-1 1 0,-3 4 0,-6 2-8191</inkml:trace>
  <inkml:trace contextRef="#ctx0" brushRef="#br0" timeOffset="22433.2">6084 2381 24575,'5'1'0,"-1"0"0,0 1 0,0-1 0,0 1 0,0 0 0,-1 0 0,1 1 0,0-1 0,-1 1 0,1-1 0,5 7 0,2 0 0,1 1 0,0-1 0,0 2 0,16 19 0,-24-26 0,-1 1 0,1 0 0,-1 0 0,-1 1 0,0-1 0,1 0 0,-1 1 0,0-1 0,-1 1 0,1 0 0,-1 0 0,0 0 0,0 7 0,1 17 0,-2 1 0,-1-1 0,-2 1 0,0-1 0,-3 0 0,1 0 0,-3 0 0,0-1 0,-3 0 0,-13 29 0,13-35 0,-2 0 0,0-1 0,-2 0 0,1-1 0,-3-1 0,0 0 0,-1-1 0,-1-1 0,-25 18 0,40-33 0,1 0 0,-1-1 0,1 1 0,-1 0 0,1 0 0,-4 5 0,7-8 0,-1 1 0,1-1 0,0 1 0,-1-1 0,1 1 0,0-1 0,0 1 0,-1 0 0,1-1 0,0 1 0,0-1 0,0 1 0,0 0 0,0-1 0,0 1 0,0-1 0,0 1 0,0 0 0,0-1 0,0 1 0,0 0 0,0-1 0,1 1 0,-1-1 0,0 1 0,0-1 0,1 1 0,-1-1 0,0 1 0,1-1 0,-1 1 0,0-1 0,1 1 0,-1-1 0,1 1 0,-1-1 0,1 0 0,-1 1 0,1-1 0,-1 0 0,1 1 0,-1-1 0,1 0 0,0 0 0,0 1 0,11 3 0,-2 0 0,2-1 0,0 0 0,-1-1 0,1-1 0,0 1 0,0-2 0,14 0 0,1 0 0,38 1 0,1-4 0,-2-2 0,87-18 0,-133 20-455,-1 0 0,23 1 0,-23 2-6371</inkml:trace>
  <inkml:trace contextRef="#ctx0" brushRef="#br0" timeOffset="23455.54">6477 2452 24575,'1'0'0,"0"0"0,-1 0 0,1 0 0,-1-1 0,1 1 0,-1 0 0,1 0 0,0 0 0,-1 0 0,1 0 0,-1 0 0,1 0 0,-1 0 0,1 1 0,0-1 0,-1 0 0,1 0 0,-1 0 0,1 1 0,-1-1 0,1 0 0,-1 0 0,1 1 0,-1-1 0,0 1 0,0-1 0,1 1 0,16 14 0,-14-13 0,22 26 0,31 41 0,-34-39 0,44 44 0,-60-70 0,-1 0 0,1 0 0,-1 0 0,2-1 0,-1 0 0,0 0 0,0-1 0,1 0 0,0 0 0,-1 0 0,1-1 0,-1 0 0,1-1 0,0 1 0,0-1 0,-1 0 0,14-3 0,-13 2 0,0 0 0,1-1 0,0 0 0,-1 0 0,0-1 0,0 0 0,0 0 0,0-1 0,-1 0 0,1 0 0,-1-1 0,1 1 0,-2-1 0,1-1 0,7-8 0,-4 2 0,-2-1 0,10-18 0,-14 28 0,-1-1 0,-1 0 0,0-1 0,1 1 0,-1 0 0,0 0 0,0-1 0,-1 1 0,1 0 0,-1-1 0,0 1 0,0-7 0,-1 9 0,1 1 0,-1-1 0,1 1 0,-1 0 0,0 0 0,0-1 0,0 1 0,0 0 0,1 0 0,-1 0 0,0 0 0,0 0 0,0 0 0,-1 0 0,1 0 0,0 1 0,0-1 0,-1 0 0,1 1 0,-1-1 0,1 1 0,0-1 0,-3 1 0,-37-6 0,26 5 0,-2-1 0,-100-8 0,101 10 0,0 0 0,-1 1 0,2 1 0,-2 0 0,-15 5 0,28-6-85,0 1 0,0-1-1,1 1 1,-1-1 0,0 1-1,0 0 1,1 0 0,0 1-1,0-1 1,0 1 0,0 0-1,0 0 1,0 0 0,0 0-1,-3 5 1,0 6-6741</inkml:trace>
  <inkml:trace contextRef="#ctx0" brushRef="#br0" timeOffset="24207.82">7672 2346 24575,'-6'1'0,"0"0"0,0 1 0,0-1 0,0 1 0,1 0 0,-1 1 0,0-1 0,1 1 0,-1 0 0,-6 6 0,8-6 0,-46 32 0,0 3 0,3 2 0,-68 74 0,-108 158 0,-29 94 0,182-262 0,0 0 0,-105 207 0,162-281-1365,5-7-5461</inkml:trace>
  <inkml:trace contextRef="#ctx0" brushRef="#br0" timeOffset="25430.89">7041 3369 24575,'0'0'0,"1"1"0,0-1 0,-1 0 0,1 0 0,0 1 0,-1-1 0,1 0 0,0 1 0,-1-1 0,1 0 0,-1 1 0,1-1 0,-1 1 0,1-1 0,-1 1 0,1 0 0,-1-1 0,0 1 0,0-1 0,0 1 0,1 0 0,-1-1 0,0 1 0,1 0 0,5 21 0,-4-17 0,7 35 0,-8-29 0,1 0 0,0 0 0,1 0 0,0 0 0,1-1 0,0 1 0,1-1 0,0 0 0,7 11 0,-9-19 0,-1 0 0,0 0 0,1 0 0,0-1 0,-1 1 0,1-1 0,0 0 0,0 0 0,0 0 0,-1 0 0,1 0 0,0-1 0,0 1 0,0-1 0,0 0 0,0 0 0,0 0 0,0 0 0,0 0 0,-1-1 0,1 1 0,0-1 0,0 0 0,4-2 0,4 0 0,0-2 0,0 0 0,-2 0 0,21-13 0,-20 10 0,-1 0 0,0-1 0,-1 0 0,0 0 0,0-1 0,-1 0 0,0-1 0,-1 0 0,0 0 0,0 0 0,-2-1 0,0 1 0,0-1 0,0 0 0,-1-1 0,-1 1 0,0 0 0,1-20 0,-3 29 0,0 0 0,0 0 0,-1 0 0,1 0 0,0 1 0,-1-1 0,0 0 0,0 0 0,0 0 0,0 0 0,0 1 0,0-1 0,-1 0 0,1 1 0,-1-1 0,0 1 0,0 0 0,0-1 0,0 1 0,-2-2 0,0 1 0,-1 1 0,1-1 0,-1 1 0,0 0 0,1 1 0,-1-1 0,0 1 0,-1 0 0,1 0 0,-7 0 0,-12-1 79,16 1-20,-2 0 0,0 0-1,-17 2 1,23 0-179,1 0 0,-1 0 0,0 0 0,1 0 0,-1 1 1,0 0-1,1-1 0,-1 1 0,2 1 0,-1-1 0,0 0 0,-1 1 0,-2 3 0,-6 6-6706</inkml:trace>
  <inkml:trace contextRef="#ctx0" brushRef="#br0" timeOffset="29849.26">4805 988 24575,'0'-3'0,"4"-1"0,5-3 0,8 0 0,16-2 0,13 1 0,14-8 0,5 0 0,9 1 0,7 1 0,3 3 0,-6 0 0,-8-1 0,-6-1 0,-10-2 0,-11 2 0,-11 3-8191</inkml:trace>
  <inkml:trace contextRef="#ctx0" brushRef="#br0" timeOffset="30647.84">4941 1288 24575,'27'-6'0,"39"-8"0,34-2 0,9-1 0,2 3 0,-15 3 0,-22 4 0,-19 2 0,-18 1 0,-11-1 0,-1 2 0,-2 1 0,-3 0 0,-2 2 0,-2-1-8191</inkml:trace>
  <inkml:trace contextRef="#ctx0" brushRef="#br0" timeOffset="31853.41">5880 194 24575,'1'0'0,"-1"0"0,0-1 0,0 1 0,0 0 0,0-1 0,0 1 0,0 0 0,0 0 0,0-1 0,0 1 0,1 0 0,-1 0 0,0-1 0,0 1 0,0 0 0,1 0 0,-1-1 0,0 1 0,0 0 0,1 0 0,-1 0 0,0 0 0,0-1 0,1 1 0,-1 0 0,0 0 0,0 0 0,1 0 0,-1 0 0,0 0 0,1 0 0,-1 0 0,0 0 0,1 0 0,-1 0 0,0 0 0,0 0 0,1 0 0,-1 0 0,0 0 0,1 0 0,-1 0 0,0 0 0,0 0 0,1 1 0,-1-1 0,0 0 0,0 0 0,1 0 0,-1 0 0,0 1 0,0-1 0,1 0 0,-1 0 0,0 0 0,0 1 0,0-1 0,0 0 0,1 0 0,-1 1 0,0-1 0,0 1 0,4 4 0,0 1 0,-2-1 0,2 1 0,-1 0 0,0 0 0,3 12 0,0-3 0,115 361 0,-28-40 0,-65-231-682,48 118-1,-63-193-6143</inkml:trace>
  <inkml:trace contextRef="#ctx0" brushRef="#br0" timeOffset="33246.94">5932 265 24575,'0'-2'0,"1"1"0,-1-1 0,1 0 0,0 1 0,0-1 0,0 0 0,0 1 0,0-1 0,1 1 0,-1 0 0,0-1 0,1 1 0,-1 0 0,1 0 0,-1-1 0,1 1 0,-1 1 0,1-1 0,0 0 0,-1 0 0,3 0 0,2-3 0,24-11 0,-1 0 0,2 2 0,0 2 0,0 1 0,1 1 0,0 2 0,1 1 0,0 2 0,0 1 0,0 1 0,53 6 0,-82-4 0,1 1 0,0 0 0,1 1 0,-1-1 0,0 1 0,-1 0 0,0 0 0,1 1 0,0-1 0,-1 1 0,1 0 0,-1 0 0,3 5 0,-4-6 0,-1 0 0,0 0 0,-1 1 0,1-1 0,0 1 0,-1-1 0,1 1 0,-1 0 0,0 0 0,0 0 0,0 0 0,0 0 0,0 0 0,-1 0 0,1 0 0,-1 0 0,0 0 0,0 0 0,0 0 0,0 0 0,0 0 0,-1 0 0,0 0 0,-1 4 0,-3 8 0,-2 1 0,0-1 0,0-1 0,-1 1 0,-18 23 0,-60 63 0,47-57 0,-43 39 0,60-62 0,18-17 0,0 0 0,0 1 0,0 0 0,0 0 0,1 0 0,-1 0 0,1 1 0,2-1 0,-2 1 0,-2 10 0,4-12 0,0 0 0,0 0 0,1 0 0,-1 0 0,1 0 0,0 0 0,0 0 0,1 0 0,-1 0 0,1 0 0,0 0 0,0 0 0,0-1 0,0 1 0,1 0 0,0 0 0,2 5 0,8 8 0,2-1 0,-1 0 0,1-1 0,0 0 0,27 19 0,91 58 0,-87-63 0,365 228-1365,-372-236-5461</inkml:trace>
  <inkml:trace contextRef="#ctx0" brushRef="#br0" timeOffset="34791.75">6871 847 24575,'0'22'0,"2"0"0,-1-1 0,3 0 0,0 1 0,9 25 0,44 96 0,-51-130 0,1-1 0,-7-11 0,1-1 0,-1 0 0,0 0 0,0 0 0,0 0 0,1 0 0,-1 0 0,0 0 0,0 0 0,0 0 0,1 0 0,-1 0 0,0 0 0,0 0 0,1 0 0,-1 0 0,0 0 0,0 0 0,0 0 0,1 0 0,-1 0 0,0 0 0,0 0 0,0 0 0,1 0 0,-1-1 0,0 1 0,0 0 0,0 0 0,0 0 0,1 0 0,-1 0 0,0-1 0,11-23 0,-9 18 0,7-28 0,-1 0 0,-1-1 0,3-54 0,-5-109 0,-4 99 0,-1 91 0,1 0 0,-1 0 0,2 1 0,-1-1 0,1 0 0,3-10 0,-4 16 0,0 0 0,0 0 0,0 0 0,0 1 0,0-1 0,0 0 0,0 1 0,1-1 0,-1 0 0,0 1 0,1 0 0,-1-1 0,0 1 0,1 0 0,-1 0 0,1 0 0,0 0 0,0 0 0,0 0 0,0 0 0,0 1 0,-1-1 0,1 1 0,0 0 0,0-1 0,1 1 0,-1 0 0,-1 0 0,4 0 0,0 1 0,1 1 0,-1-1 0,0 1 0,-1 0 0,1 0 0,0 1 0,0-1 0,0 1 0,-1 0 0,1 0 0,-2 1 0,1-1 0,0 1 0,0 0 0,0 0 0,-1 0 0,0 1 0,5 8 0,4 9 0,0 0 0,14 42 0,-21-52 0,13 38 0,-1 2 0,-1 0 0,-4 0 0,-2 1 0,6 82 0,-10-88 0,1-66 0,9-87 0,19-86 0,-28 160 0,2 1 0,1 0 0,27-55 0,-34 80 0,0 1 0,1-1 0,0 1 0,0 0 0,-1 0 0,2 0 0,9-7 0,-13 11 0,0 0 0,1 0 0,-1 0 0,0 0 0,1 0 0,-1 0 0,0 0 0,1 1 0,-1-1 0,1 1 0,0-1 0,-1 1 0,1 0 0,0 0 0,-1-1 0,1 1 0,0 0 0,0 1 0,-1-1 0,1 0 0,0 0 0,-1 1 0,1-1 0,0 1 0,-2-1 0,2 1 0,-1 0 0,1 0 0,-1 0 0,1 0 0,-1 0 0,1 0 0,0 1 0,3 3 0,-1 0 0,0 1 0,-1-1 0,-1 1 0,2-1 0,-2 1 0,1 0 0,-1 0 0,0 0 0,2 10 0,2 10 0,0 31 0,-5-51 0,5 50 111,24 184-1587,-23-206-5350</inkml:trace>
  <inkml:trace contextRef="#ctx0" brushRef="#br0" timeOffset="35602.72">7825 653 24575,'0'-3'0,"3"-1"0,4 0 0,4 1 0,10-2 0,10-4 0,8-2 0,12 0 0,2-1 0,-9-2 0,-4 2 0,-5 0 0,-4 2 0,-3 3 0,-5 2-8191</inkml:trace>
  <inkml:trace contextRef="#ctx0" brushRef="#br0" timeOffset="36357.28">8439 0 24575,'6'21'0,"5"28"0,-1 15 0,0 14 0,-2 6 0,-4 7 0,1 8 0,1 6 0,-2-3 0,-1-13 0,2-6 0,2-15 0,0-13 0,3-9 0,-1-13-8191</inkml:trace>
  <inkml:trace contextRef="#ctx0" brushRef="#br0" timeOffset="38756.89">8542 124 24575,'-1'-2'0,"1"-1"0,0 0 0,1 0 0,-1 1 0,0-1 0,1 0 0,0 1 0,0-1 0,-1 0 0,2 1 0,-1-1 0,0 1 0,0-1 0,1 1 0,-2 0 0,2 0 0,0 0 0,-1 0 0,1 0 0,0 0 0,3-2 0,2 0 0,1 0 0,-2 0 0,2 1 0,0 0 0,12-4 0,-19 7 0,0 0 0,15-6 0,2 1 0,-1 1 0,25-3 0,-35 7 0,-2 0 0,1 0 0,0 1 0,0-1 0,0 1 0,-1 1 0,1-1 0,0 1 0,0 0 0,0 0 0,-1 1 0,0 0 0,11 7 0,-10-6 0,-1 2 0,1-1 0,0 1 0,0-1 0,-1 1 0,-1 1 0,1-1 0,-1 1 0,1 0 0,-2 0 0,1 0 0,-1 1 0,0-1 0,-1 1 0,0 0 0,2 12 0,-1 6 0,-1-1 0,-1 1 0,-2-1 0,-3 26 0,2-39 0,0 1 0,-1-1 0,1 0 0,-2 0 0,0 0 0,-12 22 0,6-15 0,-2 0 0,1-1 0,-19 19 0,25-31 0,-1-1 0,0 1 0,-1-2 0,1 1 0,-1-1 0,0 0 0,-14 6 0,10-5 0,0 0 0,-19 14 0,15-9 0,8-6 0,0 0 0,2 1 0,-13 9 0,17-13 0,0 0 0,0 0 0,0 0 0,0 0 0,1 0 0,-1 0 0,0 1 0,1-1 0,0 0 0,-1 0 0,1 0 0,-1 1 0,1-1 0,0 0 0,-1 1 0,1-1 0,0 0 0,0 1 0,0-1 0,0 0 0,0 1 0,0-1 0,0 0 0,0 1 0,1-1 0,-1 0 0,1 1 0,0 0 0,3 7 0,2 0 0,-1 0 0,2-1 0,-1 0 0,0-1 0,2 1 0,12 10 0,64 41 0,-62-43 0,193 112 0,-194-119-1365,-4-3-5461</inkml:trace>
  <inkml:trace contextRef="#ctx0" brushRef="#br0" timeOffset="39981.11">9327 600 24575,'0'0'0,"-1"-1"0,1 1 0,0 0 0,0-1 0,0 1 0,0 0 0,0-1 0,0 1 0,-1-1 0,1 1 0,0 0 0,0 0 0,-1-1 0,1 1 0,0 0 0,0-1 0,-1 1 0,1 0 0,0 0 0,-1-1 0,1 1 0,0 0 0,-1 0 0,1 0 0,-1 0 0,1-1 0,0 1 0,-1 0 0,1 0 0,0 0 0,-1 0 0,1 0 0,-1 0 0,1 0 0,0 0 0,0 0 0,0 0 0,-1 0 0,1 0 0,0 1 0,-1-1 0,1 0 0,-1 0 0,-18 8 0,11-2 0,0 0 0,0 1 0,1 1 0,1-1 0,-1 1 0,0 0 0,1 1 0,0 0 0,2 0 0,-1 0 0,0 0 0,1 1 0,1 0 0,-1 0 0,1 0 0,-2 19 0,0 14 0,1-1 0,3 80 0,2-71 0,-1-39 0,0 0 0,-1 1 0,2-1 0,0 1 0,0-1 0,1 1 0,1-1 0,0 0 0,-1 0 0,10 19 0,27 40 0,-21-39 0,15 34 0,-28-54 0,0 0 0,-2 0 0,0 0 0,0 0 0,-1 1 0,2 23 0,-4-15 0,1-6 0,0 0 0,-4 24 0,3-36 0,-1 1 0,1-1 0,-1 1 0,0-1 0,0 0 0,-1 1 0,1-1 0,-1 0 0,0 0 0,2 0 0,-2 0 0,-1 0 0,1 0 0,0-1 0,-1 1 0,-2 2 0,-7 3-227,0 0-1,-1-1 1,1 0-1,-1-1 1,-23 8-1,15-8-6598</inkml:trace>
  <inkml:trace contextRef="#ctx0" brushRef="#br0" timeOffset="41187.07">9140 882 24575,'1'-3'0,"9"-1"0,10-3 0,6 0 0,-1 1 0,0 2 0,-2-2 0,-2 1 0,-1 0 0,-5 2-8191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7-20T22:34:23.750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0 0 24575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24" units="1/cm"/>
          <inkml:channelProperty channel="Y" name="resolution" value="24" units="1/cm"/>
          <inkml:channelProperty channel="T" name="resolution" value="1" units="1/dev"/>
        </inkml:channelProperties>
      </inkml:inkSource>
      <inkml:timestamp xml:id="ts0" timeString="2023-07-20T23:25:49.425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24" units="1/cm"/>
          <inkml:channelProperty channel="Y" name="resolution" value="24" units="1/cm"/>
          <inkml:channelProperty channel="T" name="resolution" value="1" units="1/dev"/>
        </inkml:channelProperties>
      </inkml:inkSource>
      <inkml:timestamp xml:id="ts0" timeString="2023-07-20T23:28:06.396"/>
    </inkml:context>
    <inkml:brush xml:id="br0">
      <inkml:brushProperty name="width" value="0.1" units="cm"/>
      <inkml:brushProperty name="height" value="0.2" units="cm"/>
      <inkml:brushProperty name="color" value="#FFFC00"/>
      <inkml:brushProperty name="tip" value="rectangle"/>
      <inkml:brushProperty name="rasterOp" value="maskPen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7-20T23:53:42.897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51 141 24575,'15'0'0,"23"6"0,5 5 0,-2 1 0,1 1 0,0 4 0,-5 3 0,-5 1 0,-6-1 0,0 3 0,-2 0 0,-3-4 0,-4-1 0,-2-5 0,-4-1 0,-3 0 0,-1 1 0,-1-1-8191</inkml:trace>
  <inkml:trace contextRef="#ctx0" brushRef="#br0" timeOffset="1297.65">333 0 24575,'-1'0'0,"-1"1"0,1-1 0,0 1 0,-1-1 0,1 1 0,0-1 0,-1 1 0,1-1 0,0 1 0,0 0 0,0 0 0,0 0 0,0 0 0,0 0 0,0 0 0,0 0 0,0 0 0,0 0 0,0 0 0,1 1 0,-1-1 0,0 0 0,1 0 0,-1 1 0,1-1 0,-1 3 0,-7 38 0,8-37 0,-1 6 0,0 0 0,0 0 0,-6 20 0,5-26 0,0-1 0,0 0 0,-1 1 0,1-1 0,-1 0 0,0 0 0,0-1 0,0 1 0,-1 0 0,1-1 0,-8 6 0,-31 21 0,-64 35 0,95-59-273,-1-1 0,0 1 0,0-2 0,-20 5 0,12-5-6553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7-20T23:53:47.098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45 177 24575,'3'-1'0,"-1"0"0,1 0 0,0 0 0,0 0 0,-1 0 0,1 0 0,0 1 0,0-1 0,0 1 0,0 0 0,0 0 0,-1 0 0,1 0 0,0 1 0,0-1 0,3 2 0,-2-1 0,1 1 0,-1 0 0,0 0 0,0 1 0,0-1 0,0 1 0,0 0 0,-1 0 0,4 3 0,5 7 0,-2 0 0,0 1 0,0-1 0,9 21 0,-5-4-62,-1 0 0,-2 1 0,-1 0 1,-1 0-1,6 48 0,-6-35-932,-4-20-5832</inkml:trace>
  <inkml:trace contextRef="#ctx0" brushRef="#br0" timeOffset="1071.28">292 0 24575,'-1'3'0,"0"0"0,0 0 0,0 0 0,-1 0 0,0 0 0,1-1 0,-1 1 0,0 0 0,0-1 0,0 0 0,-1 1 0,1-1 0,-4 2 0,2 1 0,-9 7 0,-51 52 0,57-55 0,-1 0 0,1 1 0,1 0 0,0 0 0,-8 17 0,-38 79 0,14-35 0,31-53 137,-10 35 0,4-10-1776,6-23-5187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7-20T23:53:52.043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0 167 24575,'7'0'0,"0"1"0,0 0 0,0 0 0,-1 0 0,1 1 0,0 0 0,12 5 0,39 28 0,-57-35 0,6 4 0,1 0 0,-1-1 0,1 1 0,-1-2 0,1 1 0,14 2 0,52 4 0,-55-8 0,227 4 0,-131-7 0,79 2-72,506 8-460,-659-7 532,64 6 0,-89-5 0,-1 0 0,0 2 0,1 0 0,21 9 0,-33-11 15,0 0 0,0 0 1,0 0-1,0 1 0,0-1 0,0 1 0,-1 0 0,1 0 0,-1 0 0,0 1 0,0-1 0,0 1 1,0 0-1,-1 0 0,0 0 0,0 0 0,0 0 0,-1 0 0,3 8 0,-3-5 8,1-1 1,-2 1-1,1 0 0,-1 0 0,0 0 1,0 0-1,-1 0 0,0 0 0,0 0 1,-1-1-1,0 1 0,-2 8 0,3-14-23,1 1 0,-1 0 0,0-1 0,1 1 0,-1-1 0,0 1 0,0 0 0,0-1 0,0 0 0,-1 1 0,1-1 0,0 0 0,-1 0 0,1 1 0,0-1 0,-1 0 0,1 0 0,-1-1 0,0 1 0,1 0 0,-1 0 0,0-1 0,1 1 0,-1-1 0,0 0 0,-2 1 0,2-1 0,1-1 0,-1 1 0,1 0 0,-1-1 0,0 1 0,1-1 0,-1 1 0,1-1 0,-1 0 0,1 0 0,-1 1 0,1-1 0,-1 0 0,1 0 0,0-1 0,0 1 0,1 0 0,-2 0 0,1-1 0,0 1 0,0 0 0,1-1 0,-1 1 0,0-1 0,0 1 0,0-4 0,-1-1 0,0-1 0,1 0 0,0 0 0,0 1 0,0-1 0,1 0 0,0 0 0,1 0 0,-1 0 0,1 1 0,1-1 0,-1 0 0,1 0 0,0 1 0,1 0 0,-1-1 0,1 1 0,0 0 0,0 0 0,8-10 0,-1 4 0,0 1 0,0-1 0,1 2 0,0-1 0,0 2 0,2 0 0,-1 0 0,19-10 0,-10 10 0,0 0 0,0 1 0,1 1 0,0 2 0,34-6 0,117-3 0,-154 13 0,780 0 0,-533 27 0,-228-21 0,-10-2 0,-20-3 0,1 1 0,0 0 0,0 0 0,0 1 0,0 0 0,0 1 0,-2 0 0,2 0 0,14 8 0,12 12 0,3-1 0,57 24 0,84 22 0,-140-54 0,-16-5 0,10 3 0,53 13 0,-77-23 0,1 0 0,-1-1 0,1 0 0,0-1 0,-1 0 0,0-1 0,1 0 0,-1 0 0,1-1 0,15-4 0,48-27 0,18-6 0,184-47 0,-261 80 0,2-1 0,-1 0 0,0-2 0,-2 1 0,1-2 0,0 0 0,-1-1 0,-1 0 0,0-1 0,22-26 0,-28 29-136,-1-1-1,0 1 1,0-1-1,-1 0 1,0-1-1,0 1 1,-1-1-1,-1 1 0,3-18 1,-2 8-6690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7-20T23:53:55.546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18 0 24575,'0'3'0,"0"10"0,0 6 0,0 9 0,0 2 0,0-1 0,0 1 0,0 1 0,0-1 0,0-1 0,-3-4 0,-4-7 0,0-6-8191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7-20T23:53:58.343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125 1323 24575,'16'0'0,"-12"-1"0,0 1 0,0-1 0,1 1 0,-1 0 0,0 1 0,0-1 0,0 1 0,0 0 0,0 0 0,0 0 0,7 3 0,-11-4 0,0 0 0,0 0 0,0 0 0,1 1 0,-1-1 0,0 0 0,0 0 0,0 0 0,0 0 0,0 1 0,0-1 0,0 0 0,0 0 0,0 0 0,0 0 0,0 1 0,0-1 0,0 0 0,0 0 0,0 0 0,0 0 0,0 1 0,0-1 0,0 0 0,0 0 0,0 0 0,0 0 0,0 1 0,0-1 0,0 0 0,-1 0 0,1 0 0,0 0 0,0 0 0,0 1 0,0-1 0,0 0 0,0 0 0,-1 0 0,1 0 0,0 0 0,0 0 0,0 0 0,0 0 0,0 1 0,-1-1 0,1 0 0,0 0 0,0 0 0,0 0 0,-1 0 0,1 0 0,0 0 0,0 0 0,0 0 0,0 0 0,-1 0 0,1 0 0,0 0 0,0 0 0,-1-1 0,-3 3 0,7 1 0,-3-3 0,1 0 0,0 0 0,-1 1 0,1-1 0,-1 0 0,1 0 0,-1 0 0,1 1 0,-1-1 0,1 0 0,-1 0 0,1 1 0,-1-1 0,1 0 0,-1 1 0,0-1 0,1 1 0,-1-1 0,1 1 0,-1-1 0,0 1 0,0-1 0,1 1 0,-1-1 0,0 1 0,0-1 0,1 1 0,-1-1 0,0 1 0,0-1 0,0 1 0,0 0 0,0-1 0,0 1 0,0-1 0,0 1 0,0-1 0,0 1 0,0 0 0,-1-1 0,1 1 0,0 0 0,-1 0 0,0 0 0,0 1 0,0-1 0,0 0 0,0 0 0,0 0 0,0-1 0,-1 1 0,1 0 0,0 0 0,0-1 0,-1 1 0,1 0 0,-1-1 0,1 0 0,-3 1 0,-28 1 0,29-2 0,-1-1 0,0 1 0,0 0 0,1 0 0,-1 1 0,0-1 0,1 1 0,-1 0 0,0 0 0,1 0 0,-1 0 0,1 1 0,0-1 0,-1 1 0,1 0 0,0 0 0,0 0 0,-4 4 0,5-4 25,0 1-1,0-1 0,-1 0 1,1 0-1,-1 1 1,1-2-1,-1 1 0,0 0 1,0 0-1,1-1 0,-1 0 1,0 1-1,-6 0 1,8-2-72,0 1 1,-1-1 0,1 0 0,0-1 0,-1 1 0,1 0 0,0 0 0,0-1-1,0 1 1,-1 0 0,1-1 0,0 1 0,0-1 0,0 0 0,0 1 0,0-1-1,0 0 1,0 1 0,0-1 0,0 0 0,0 0 0,0 0 0,0 0 0,1 0-1,-1 0 1,0 0 0,1 0 0,-1 0 0,1-1 0,-1 1 0,1 0 0,0 0-1,-1 0 1,1-1 0,0 1 0,0-3 0,-3-9-6780</inkml:trace>
  <inkml:trace contextRef="#ctx0" brushRef="#br0" timeOffset="2994.24">372 0 24575,'0'1366'0,"0"-1363"0,1 1 0,-2 0 0,1-1 0,0 1 0,-1-1 0,0 1 0,1-1 0,-1 0 0,-1 1 0,-1 4 0,1-6 0,1 0 0,-1 0 0,0-1 0,1 1 0,-1 0 0,0-1 0,0 1 0,0-1 0,0 0 0,-1 0 0,1 1 0,0-1 0,0-1 0,-1 1 0,-4 1 0,-116 31 0,121-33 4,-29 8 333,30-8-388,0 0 1,0 0 0,1 0 0,-1 0 0,0 0 0,0 0-1,0 0 1,0-1 0,0 1 0,1 0 0,-1 0 0,0 0-1,0-1 1,1 1 0,-1-1 0,0 1 0,0 0 0,1-1-1,-1 1 1,0-1 0,1 0 0,-1 1 0,1-1 0,-1 1-1,1-1 1,-1 0 0,1 0 0,-1 1 0,1-1 0,-1 0-1,1 0 1,0 1 0,-1-2 0,1-8-6776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1"/>
  <sheetViews>
    <sheetView tabSelected="1" topLeftCell="L1" workbookViewId="0">
      <selection activeCell="S12" sqref="S12"/>
    </sheetView>
  </sheetViews>
  <sheetFormatPr defaultRowHeight="14.4" x14ac:dyDescent="0.3"/>
  <cols>
    <col min="1" max="1" width="12.44140625" customWidth="1"/>
    <col min="6" max="10" width="15.21875" style="1" customWidth="1"/>
    <col min="11" max="11" width="24.77734375" customWidth="1"/>
    <col min="12" max="12" width="44.21875" style="1" customWidth="1"/>
    <col min="13" max="13" width="29.77734375" style="1" customWidth="1"/>
    <col min="14" max="14" width="15.44140625" style="1" customWidth="1"/>
    <col min="15" max="15" width="15" customWidth="1"/>
    <col min="18" max="18" width="11.77734375" bestFit="1" customWidth="1"/>
    <col min="21" max="21" width="20" bestFit="1" customWidth="1"/>
  </cols>
  <sheetData>
    <row r="1" spans="1:24" ht="15" thickBot="1" x14ac:dyDescent="0.35">
      <c r="A1" t="s">
        <v>0</v>
      </c>
      <c r="B1" t="s">
        <v>23</v>
      </c>
      <c r="C1" t="s">
        <v>24</v>
      </c>
      <c r="D1" t="s">
        <v>25</v>
      </c>
      <c r="E1" s="32" t="s">
        <v>26</v>
      </c>
      <c r="F1" s="15" t="s">
        <v>23</v>
      </c>
      <c r="G1" s="15" t="s">
        <v>24</v>
      </c>
      <c r="H1" s="15" t="s">
        <v>25</v>
      </c>
      <c r="I1" s="42" t="s">
        <v>5</v>
      </c>
      <c r="J1" s="42" t="s">
        <v>23</v>
      </c>
      <c r="K1" s="3" t="s">
        <v>27</v>
      </c>
      <c r="L1" s="2" t="s">
        <v>23</v>
      </c>
      <c r="M1" s="2" t="s">
        <v>24</v>
      </c>
      <c r="N1" s="2" t="s">
        <v>25</v>
      </c>
      <c r="Q1" s="15" t="s">
        <v>40</v>
      </c>
      <c r="R1" s="15" t="s">
        <v>41</v>
      </c>
      <c r="S1" s="15" t="s">
        <v>24</v>
      </c>
      <c r="T1" s="15" t="s">
        <v>25</v>
      </c>
    </row>
    <row r="2" spans="1:24" ht="15" thickBot="1" x14ac:dyDescent="0.35">
      <c r="A2" s="31">
        <v>43313</v>
      </c>
      <c r="B2" s="34">
        <v>87.864288000000002</v>
      </c>
      <c r="C2">
        <v>54.385100999999999</v>
      </c>
      <c r="D2">
        <v>20.110665999999998</v>
      </c>
      <c r="E2" s="33">
        <v>2901.52</v>
      </c>
      <c r="F2" s="16">
        <f>B3/B2-1</f>
        <v>-1.4652301057740291E-2</v>
      </c>
      <c r="G2" s="16">
        <f t="shared" ref="G2:H2" si="0">C3/C2-1</f>
        <v>-4.8250163220253661E-3</v>
      </c>
      <c r="H2" s="16">
        <f t="shared" si="0"/>
        <v>-0.12228998283796255</v>
      </c>
      <c r="I2" s="43">
        <f>E3/E2-1</f>
        <v>4.2943009181395375E-3</v>
      </c>
      <c r="J2" s="43">
        <v>-1.4652301057740291E-2</v>
      </c>
      <c r="K2" s="2" t="s">
        <v>1</v>
      </c>
      <c r="L2" s="35">
        <f>AVERAGE(F2:F60)</f>
        <v>1.0995709836492038E-2</v>
      </c>
      <c r="M2" s="7">
        <f t="shared" ref="M2:N2" si="1">AVERAGE(G2:G60)</f>
        <v>2.5969317091745627E-2</v>
      </c>
      <c r="N2" s="7">
        <f t="shared" si="1"/>
        <v>6.794112835321954E-2</v>
      </c>
      <c r="Q2" s="44">
        <v>-0.3</v>
      </c>
      <c r="R2">
        <f>_xlfn.NORM.DIST(Q2,1.1%,5.26%,0)</f>
        <v>1.9446599687168746E-7</v>
      </c>
      <c r="S2">
        <f>_xlfn.NORM.DIST(Q2,2.6%,9.14%,0)</f>
        <v>7.5421767752849971E-3</v>
      </c>
      <c r="T2">
        <f>_xlfn.NORM.DIST(Q2,6.79%,22.29%,0)</f>
        <v>0.4584023870219649</v>
      </c>
      <c r="U2" t="s">
        <v>46</v>
      </c>
    </row>
    <row r="3" spans="1:24" ht="15" thickBot="1" x14ac:dyDescent="0.35">
      <c r="A3" s="31">
        <v>43344</v>
      </c>
      <c r="B3" s="34">
        <v>86.576874000000004</v>
      </c>
      <c r="C3">
        <v>54.122692000000001</v>
      </c>
      <c r="D3">
        <v>17.651333000000001</v>
      </c>
      <c r="E3" s="33">
        <v>2913.98</v>
      </c>
      <c r="F3" s="16">
        <f t="shared" ref="F3:F60" si="2">B4/B3-1</f>
        <v>6.7831012240058497E-2</v>
      </c>
      <c r="G3" s="16">
        <f t="shared" ref="G3:G60" si="3">C4/C3-1</f>
        <v>-3.047778924226463E-2</v>
      </c>
      <c r="H3" s="16">
        <f t="shared" ref="H3:H60" si="4">D4/D3-1</f>
        <v>0.27401148683784959</v>
      </c>
      <c r="I3" s="43">
        <f t="shared" ref="I3:I60" si="5">E4/E3-1</f>
        <v>-6.9403358979814644E-2</v>
      </c>
      <c r="J3" s="43">
        <v>6.7831012240058497E-2</v>
      </c>
      <c r="K3" s="4" t="s">
        <v>2</v>
      </c>
      <c r="L3" s="35">
        <f>STDEV(F2:F60)</f>
        <v>5.2643723433204233E-2</v>
      </c>
      <c r="M3" s="7">
        <f t="shared" ref="M3:N3" si="6">STDEV(G2:G60)</f>
        <v>9.1383858531970147E-2</v>
      </c>
      <c r="N3" s="7">
        <f t="shared" si="6"/>
        <v>0.2228638971947792</v>
      </c>
      <c r="Q3" s="44">
        <v>-0.25</v>
      </c>
      <c r="R3">
        <f t="shared" ref="R3:R17" si="7">_xlfn.NORM.DIST(Q3,1.1%,5.26%,0)</f>
        <v>3.4158190126066469E-5</v>
      </c>
      <c r="S3">
        <f t="shared" ref="S3:S17" si="8">_xlfn.NORM.DIST(Q3,2.6%,9.14%,0)</f>
        <v>4.5697868857122279E-2</v>
      </c>
      <c r="T3">
        <f t="shared" ref="T3:T17" si="9">_xlfn.NORM.DIST(Q3,6.79%,22.29%,0)</f>
        <v>0.64731007908877558</v>
      </c>
      <c r="U3" t="s">
        <v>44</v>
      </c>
      <c r="X3" t="s">
        <v>45</v>
      </c>
    </row>
    <row r="4" spans="1:24" ht="15" thickBot="1" x14ac:dyDescent="0.35">
      <c r="A4" s="31">
        <v>43374</v>
      </c>
      <c r="B4">
        <v>92.449471000000003</v>
      </c>
      <c r="C4">
        <v>52.473151999999999</v>
      </c>
      <c r="D4">
        <v>22.488001000000001</v>
      </c>
      <c r="E4" s="33">
        <v>2711.74</v>
      </c>
      <c r="F4" s="16">
        <f t="shared" si="2"/>
        <v>-2.622679149781193E-2</v>
      </c>
      <c r="G4" s="16">
        <f t="shared" si="3"/>
        <v>-0.18404455672874387</v>
      </c>
      <c r="H4" s="16">
        <f t="shared" si="4"/>
        <v>3.9013383181546457E-2</v>
      </c>
      <c r="I4" s="43">
        <f t="shared" si="5"/>
        <v>1.785938179914015E-2</v>
      </c>
      <c r="J4" s="43">
        <v>-2.622679149781193E-2</v>
      </c>
      <c r="K4" t="s">
        <v>28</v>
      </c>
      <c r="Q4" s="44">
        <v>-0.2</v>
      </c>
      <c r="R4">
        <f t="shared" si="7"/>
        <v>2.4306615680947758E-3</v>
      </c>
      <c r="S4">
        <f t="shared" si="8"/>
        <v>0.2052714431478222</v>
      </c>
      <c r="T4">
        <f t="shared" si="9"/>
        <v>0.86921100166166632</v>
      </c>
      <c r="U4" s="45" t="s">
        <v>42</v>
      </c>
      <c r="X4" s="46" t="s">
        <v>43</v>
      </c>
    </row>
    <row r="5" spans="1:24" ht="15" thickBot="1" x14ac:dyDescent="0.35">
      <c r="A5" s="31">
        <v>43405</v>
      </c>
      <c r="B5">
        <v>90.024817999999996</v>
      </c>
      <c r="C5">
        <v>42.815753999999998</v>
      </c>
      <c r="D5">
        <v>23.365334000000001</v>
      </c>
      <c r="E5" s="33">
        <v>2760.17</v>
      </c>
      <c r="F5" s="16">
        <f t="shared" si="2"/>
        <v>-4.6082814630072244E-2</v>
      </c>
      <c r="G5" s="16">
        <f t="shared" si="3"/>
        <v>-0.11361638055001899</v>
      </c>
      <c r="H5" s="16">
        <f t="shared" si="4"/>
        <v>-5.0445159482847668E-2</v>
      </c>
      <c r="I5" s="43">
        <f t="shared" si="5"/>
        <v>-9.1776955767217339E-2</v>
      </c>
      <c r="J5" s="43">
        <v>-4.6082814630072244E-2</v>
      </c>
      <c r="K5" s="5" t="s">
        <v>4</v>
      </c>
      <c r="L5" s="50" t="s">
        <v>23</v>
      </c>
      <c r="M5" s="50" t="s">
        <v>24</v>
      </c>
      <c r="N5" s="50" t="s">
        <v>25</v>
      </c>
      <c r="Q5" s="44">
        <v>-0.15</v>
      </c>
      <c r="R5">
        <f t="shared" si="7"/>
        <v>7.0070078264610314E-2</v>
      </c>
      <c r="S5">
        <f t="shared" si="8"/>
        <v>0.68358806732141242</v>
      </c>
      <c r="T5">
        <f t="shared" si="9"/>
        <v>1.1099039733455405</v>
      </c>
    </row>
    <row r="6" spans="1:24" ht="15" thickBot="1" x14ac:dyDescent="0.35">
      <c r="A6" s="31">
        <v>43435</v>
      </c>
      <c r="B6">
        <v>85.876221000000001</v>
      </c>
      <c r="C6">
        <v>37.951183</v>
      </c>
      <c r="D6">
        <v>22.186665999999999</v>
      </c>
      <c r="E6" s="33">
        <v>2506.85</v>
      </c>
      <c r="F6" s="16">
        <f t="shared" si="2"/>
        <v>3.4384687234898292E-2</v>
      </c>
      <c r="G6" s="16">
        <f t="shared" si="3"/>
        <v>5.5154090980510384E-2</v>
      </c>
      <c r="H6" s="16">
        <f t="shared" si="4"/>
        <v>-7.7463914587256988E-2</v>
      </c>
      <c r="I6" s="43">
        <f t="shared" si="5"/>
        <v>7.8684404731036883E-2</v>
      </c>
      <c r="J6" s="43">
        <v>3.4384687234898292E-2</v>
      </c>
      <c r="K6" s="51" t="s">
        <v>23</v>
      </c>
      <c r="L6" s="37">
        <v>1</v>
      </c>
      <c r="M6" s="37">
        <f>L7</f>
        <v>0.48331511659367721</v>
      </c>
      <c r="N6" s="36">
        <f>L8</f>
        <v>0.3340933628206802</v>
      </c>
      <c r="Q6" s="44">
        <v>-0.1</v>
      </c>
      <c r="R6">
        <f t="shared" si="7"/>
        <v>0.81831248334676654</v>
      </c>
      <c r="S6">
        <f t="shared" si="8"/>
        <v>1.6876942061529896</v>
      </c>
      <c r="T6">
        <f t="shared" si="9"/>
        <v>1.3476991175687028</v>
      </c>
    </row>
    <row r="7" spans="1:24" ht="15" thickBot="1" x14ac:dyDescent="0.35">
      <c r="A7" s="31">
        <v>43466</v>
      </c>
      <c r="B7">
        <v>88.829048</v>
      </c>
      <c r="C7">
        <v>40.044345999999997</v>
      </c>
      <c r="D7">
        <v>20.468</v>
      </c>
      <c r="E7" s="33">
        <v>2704.1</v>
      </c>
      <c r="F7" s="16">
        <f t="shared" si="2"/>
        <v>3.2975181722087132E-2</v>
      </c>
      <c r="G7" s="16">
        <f t="shared" si="3"/>
        <v>4.0314804991446351E-2</v>
      </c>
      <c r="H7" s="16">
        <f t="shared" si="4"/>
        <v>4.1886505765096782E-2</v>
      </c>
      <c r="I7" s="43">
        <f t="shared" si="5"/>
        <v>2.9728930143116061E-2</v>
      </c>
      <c r="J7" s="43">
        <v>3.2975181722087132E-2</v>
      </c>
      <c r="K7" s="51" t="s">
        <v>24</v>
      </c>
      <c r="L7" s="36">
        <f>CORREL(F2:F60,G2:G60)</f>
        <v>0.48331511659367721</v>
      </c>
      <c r="M7" s="36">
        <v>1</v>
      </c>
      <c r="N7" s="36">
        <f>M8</f>
        <v>0.64452047875140783</v>
      </c>
      <c r="Q7" s="44">
        <v>-0.05</v>
      </c>
      <c r="R7">
        <f t="shared" si="7"/>
        <v>3.8715441455596178</v>
      </c>
      <c r="S7">
        <f t="shared" si="8"/>
        <v>3.08906036179869</v>
      </c>
      <c r="T7">
        <f t="shared" si="9"/>
        <v>1.5561369972300014</v>
      </c>
    </row>
    <row r="8" spans="1:24" ht="15" thickBot="1" x14ac:dyDescent="0.35">
      <c r="A8" s="31">
        <v>43497</v>
      </c>
      <c r="B8">
        <v>91.758201999999997</v>
      </c>
      <c r="C8">
        <v>41.658726000000001</v>
      </c>
      <c r="D8">
        <v>21.325333000000001</v>
      </c>
      <c r="E8" s="33">
        <v>2784.49</v>
      </c>
      <c r="F8" s="16">
        <f t="shared" si="2"/>
        <v>-1.4749155612268749E-2</v>
      </c>
      <c r="G8" s="16">
        <f t="shared" si="3"/>
        <v>0.10173081145112306</v>
      </c>
      <c r="H8" s="16">
        <f t="shared" si="4"/>
        <v>-0.1251094179865796</v>
      </c>
      <c r="I8" s="43">
        <f t="shared" si="5"/>
        <v>1.7924287751078349E-2</v>
      </c>
      <c r="J8" s="43">
        <v>-1.4749155612268749E-2</v>
      </c>
      <c r="K8" s="51" t="s">
        <v>25</v>
      </c>
      <c r="L8" s="39">
        <f>CORREL(F2:F60,H2:H60)</f>
        <v>0.3340933628206802</v>
      </c>
      <c r="M8" s="37">
        <f>CORREL(H2:H60,G2:G60)</f>
        <v>0.64452047875140783</v>
      </c>
      <c r="N8" s="36">
        <v>1</v>
      </c>
      <c r="Q8" s="44">
        <v>0</v>
      </c>
      <c r="R8">
        <f t="shared" si="7"/>
        <v>7.4204068990837087</v>
      </c>
      <c r="S8">
        <f t="shared" si="8"/>
        <v>4.1917211009663493</v>
      </c>
      <c r="T8">
        <f t="shared" si="9"/>
        <v>1.7086379918135699</v>
      </c>
    </row>
    <row r="9" spans="1:24" ht="15" thickBot="1" x14ac:dyDescent="0.35">
      <c r="A9" s="31">
        <v>43525</v>
      </c>
      <c r="B9">
        <v>90.404846000000006</v>
      </c>
      <c r="C9">
        <v>45.896701999999998</v>
      </c>
      <c r="D9">
        <v>18.657333000000001</v>
      </c>
      <c r="E9" s="33">
        <v>2834.4</v>
      </c>
      <c r="F9" s="16">
        <f t="shared" si="2"/>
        <v>6.0118690982560841E-2</v>
      </c>
      <c r="G9" s="16">
        <f t="shared" si="3"/>
        <v>5.6435885088214066E-2</v>
      </c>
      <c r="H9" s="16">
        <f t="shared" si="4"/>
        <v>-0.14710923581628732</v>
      </c>
      <c r="I9" s="43">
        <f t="shared" si="5"/>
        <v>3.9313434942139347E-2</v>
      </c>
      <c r="J9" s="43">
        <v>6.0118690982560841E-2</v>
      </c>
      <c r="K9" s="6"/>
      <c r="L9" s="11"/>
      <c r="M9" s="11"/>
      <c r="N9" s="11"/>
      <c r="O9" s="12"/>
      <c r="P9" s="12"/>
      <c r="Q9" s="44">
        <v>0.05</v>
      </c>
      <c r="R9">
        <f t="shared" si="7"/>
        <v>5.7616873855835085</v>
      </c>
      <c r="S9">
        <f t="shared" si="8"/>
        <v>4.2168845580504914</v>
      </c>
      <c r="T9">
        <f t="shared" si="9"/>
        <v>1.7840196582381536</v>
      </c>
    </row>
    <row r="10" spans="1:24" ht="15" thickBot="1" x14ac:dyDescent="0.35">
      <c r="A10" s="31">
        <v>43556</v>
      </c>
      <c r="B10">
        <v>95.839866999999998</v>
      </c>
      <c r="C10">
        <v>48.486922999999997</v>
      </c>
      <c r="D10">
        <v>15.912667000000001</v>
      </c>
      <c r="E10" s="33">
        <v>2945.83</v>
      </c>
      <c r="F10" s="16">
        <f t="shared" si="2"/>
        <v>-1.3613280577695286E-2</v>
      </c>
      <c r="G10" s="16">
        <f t="shared" si="3"/>
        <v>-0.12757270656255082</v>
      </c>
      <c r="H10" s="16">
        <f t="shared" si="4"/>
        <v>-0.2242658003212159</v>
      </c>
      <c r="I10" s="43">
        <f t="shared" si="5"/>
        <v>-6.5777726481161536E-2</v>
      </c>
      <c r="J10" s="43">
        <v>-1.3613280577695286E-2</v>
      </c>
      <c r="K10" s="8"/>
      <c r="L10" s="47" t="s">
        <v>29</v>
      </c>
      <c r="M10" s="47"/>
      <c r="N10" s="9"/>
      <c r="O10" s="10"/>
      <c r="P10" s="10"/>
      <c r="Q10" s="44">
        <v>0.1</v>
      </c>
      <c r="R10">
        <f t="shared" si="7"/>
        <v>1.8123836128371786</v>
      </c>
      <c r="S10">
        <f t="shared" si="8"/>
        <v>3.1450271128048999</v>
      </c>
      <c r="T10">
        <f t="shared" si="9"/>
        <v>1.7713180931783117</v>
      </c>
    </row>
    <row r="11" spans="1:24" ht="15" thickBot="1" x14ac:dyDescent="0.35">
      <c r="A11" s="31">
        <v>43586</v>
      </c>
      <c r="B11">
        <v>94.535172000000003</v>
      </c>
      <c r="C11">
        <v>42.301315000000002</v>
      </c>
      <c r="D11">
        <v>12.343999999999999</v>
      </c>
      <c r="E11" s="33">
        <v>2752.06</v>
      </c>
      <c r="F11" s="16">
        <f t="shared" si="2"/>
        <v>9.5001223459983741E-2</v>
      </c>
      <c r="G11" s="16">
        <f t="shared" si="3"/>
        <v>0.13487278114167367</v>
      </c>
      <c r="H11" s="16">
        <f t="shared" si="4"/>
        <v>0.20684810434219059</v>
      </c>
      <c r="I11" s="43">
        <f t="shared" si="5"/>
        <v>6.8930183208214979E-2</v>
      </c>
      <c r="J11" s="43">
        <v>9.5001223459983741E-2</v>
      </c>
      <c r="K11" s="8"/>
      <c r="L11" s="8" t="s">
        <v>10</v>
      </c>
      <c r="M11" s="8" t="s">
        <v>11</v>
      </c>
      <c r="N11" s="9"/>
      <c r="O11" s="10"/>
      <c r="P11" s="10"/>
      <c r="Q11" s="44">
        <v>0.15</v>
      </c>
      <c r="R11">
        <f t="shared" si="7"/>
        <v>0.23095588239177575</v>
      </c>
      <c r="S11">
        <f t="shared" si="8"/>
        <v>1.7389633322550762</v>
      </c>
      <c r="T11">
        <f t="shared" si="9"/>
        <v>1.6724025777231126</v>
      </c>
    </row>
    <row r="12" spans="1:24" ht="15" thickBot="1" x14ac:dyDescent="0.35">
      <c r="A12" s="31">
        <v>43617</v>
      </c>
      <c r="B12">
        <v>103.51612900000001</v>
      </c>
      <c r="C12">
        <v>48.006610999999999</v>
      </c>
      <c r="D12">
        <v>14.897333</v>
      </c>
      <c r="E12" s="33">
        <v>2941.76</v>
      </c>
      <c r="F12" s="16">
        <f t="shared" si="2"/>
        <v>-9.9557432252905809E-4</v>
      </c>
      <c r="G12" s="16">
        <f t="shared" si="3"/>
        <v>7.6394603234958502E-2</v>
      </c>
      <c r="H12" s="16">
        <f t="shared" si="4"/>
        <v>8.1222524864014156E-2</v>
      </c>
      <c r="I12" s="43">
        <f t="shared" si="5"/>
        <v>1.3128195366039375E-2</v>
      </c>
      <c r="J12" s="43">
        <v>-9.9557432252905809E-4</v>
      </c>
      <c r="K12" s="8" t="s">
        <v>30</v>
      </c>
      <c r="L12" s="14">
        <f>10%*L2+90%*N2</f>
        <v>6.224658650154679E-2</v>
      </c>
      <c r="M12" s="38">
        <f>(10%^2*L3^2+90%^2*N3^2+2*10%*90%*L3*N3*L8)^(1/2)</f>
        <v>0.20239713015701141</v>
      </c>
      <c r="N12" s="13"/>
      <c r="O12" s="10"/>
      <c r="P12" s="10"/>
      <c r="Q12" s="44">
        <v>0.2</v>
      </c>
      <c r="R12">
        <f t="shared" si="7"/>
        <v>1.1923023363919495E-2</v>
      </c>
      <c r="S12">
        <f t="shared" si="8"/>
        <v>0.71283629496824541</v>
      </c>
      <c r="T12">
        <f t="shared" si="9"/>
        <v>1.5015245734049274</v>
      </c>
    </row>
    <row r="13" spans="1:24" ht="15" thickBot="1" x14ac:dyDescent="0.35">
      <c r="A13" s="31">
        <v>43647</v>
      </c>
      <c r="B13">
        <v>103.413071</v>
      </c>
      <c r="C13">
        <v>51.674056999999998</v>
      </c>
      <c r="D13">
        <v>16.107332</v>
      </c>
      <c r="E13" s="33">
        <v>2980.38</v>
      </c>
      <c r="F13" s="16">
        <f t="shared" si="2"/>
        <v>3.5151571893653477E-2</v>
      </c>
      <c r="G13" s="16">
        <f t="shared" si="3"/>
        <v>-2.0184054834324283E-2</v>
      </c>
      <c r="H13" s="16">
        <f t="shared" si="4"/>
        <v>-6.6222326577734969E-2</v>
      </c>
      <c r="I13" s="43">
        <f t="shared" si="5"/>
        <v>-1.8091652742267761E-2</v>
      </c>
      <c r="J13" s="43">
        <v>3.5151571893653477E-2</v>
      </c>
      <c r="K13" s="8" t="s">
        <v>31</v>
      </c>
      <c r="L13" s="49">
        <f>50%*L2+50%*N2</f>
        <v>3.9468419094855788E-2</v>
      </c>
      <c r="M13" s="13">
        <f>(50%^2*L3^2+50%^2*N3^2+2*50%*50%*L3*N3*L8)^(1/2)</f>
        <v>0.12275901438612095</v>
      </c>
      <c r="N13" s="13"/>
      <c r="O13" s="10"/>
      <c r="P13" s="10"/>
      <c r="Q13" s="44">
        <v>0.25</v>
      </c>
      <c r="R13">
        <f t="shared" si="7"/>
        <v>2.4935738070051735E-4</v>
      </c>
      <c r="S13">
        <f t="shared" si="8"/>
        <v>0.21663196187067488</v>
      </c>
      <c r="T13">
        <f t="shared" si="9"/>
        <v>1.2819509432855505</v>
      </c>
    </row>
    <row r="14" spans="1:24" ht="15" thickBot="1" x14ac:dyDescent="0.35">
      <c r="A14" s="31">
        <v>43678</v>
      </c>
      <c r="B14">
        <v>107.048203</v>
      </c>
      <c r="C14">
        <v>50.631065</v>
      </c>
      <c r="D14">
        <v>15.040666999999999</v>
      </c>
      <c r="E14" s="33">
        <v>2926.46</v>
      </c>
      <c r="F14" s="16">
        <f t="shared" si="2"/>
        <v>4.3796372742473721E-2</v>
      </c>
      <c r="G14" s="16">
        <f t="shared" si="3"/>
        <v>7.7038474304263582E-2</v>
      </c>
      <c r="H14" s="16">
        <f t="shared" si="4"/>
        <v>6.7638888621096571E-2</v>
      </c>
      <c r="I14" s="43">
        <f t="shared" si="5"/>
        <v>1.7181167690656807E-2</v>
      </c>
      <c r="J14" s="43">
        <v>4.3796372742473721E-2</v>
      </c>
      <c r="K14" s="8" t="s">
        <v>32</v>
      </c>
      <c r="L14" s="14">
        <f>70%*L2+30%*N2</f>
        <v>2.807933539151029E-2</v>
      </c>
      <c r="M14" s="13">
        <f>(70%^2*L3^2+30%^2*N3^2+2*70%*30%*L3*N3*L8)^(1/2)</f>
        <v>8.6454582105041825E-2</v>
      </c>
      <c r="N14" s="13"/>
      <c r="O14" s="10"/>
      <c r="P14" s="10"/>
      <c r="Q14" s="44">
        <v>0.3</v>
      </c>
      <c r="R14">
        <f t="shared" si="7"/>
        <v>2.1126936417443626E-6</v>
      </c>
      <c r="S14">
        <f t="shared" si="8"/>
        <v>4.8807730082651032E-2</v>
      </c>
      <c r="T14">
        <f t="shared" si="9"/>
        <v>1.0407770682809974</v>
      </c>
    </row>
    <row r="15" spans="1:24" ht="15" thickBot="1" x14ac:dyDescent="0.35">
      <c r="A15" s="31">
        <v>43709</v>
      </c>
      <c r="B15">
        <v>111.736526</v>
      </c>
      <c r="C15">
        <v>54.531604999999999</v>
      </c>
      <c r="D15">
        <v>16.058001000000001</v>
      </c>
      <c r="E15" s="33">
        <v>2976.74</v>
      </c>
      <c r="F15" s="16">
        <f t="shared" si="2"/>
        <v>-1.1964941526820039E-2</v>
      </c>
      <c r="G15" s="16">
        <f t="shared" si="3"/>
        <v>0.11068423531638216</v>
      </c>
      <c r="H15" s="16">
        <f t="shared" si="4"/>
        <v>0.3074271822501442</v>
      </c>
      <c r="I15" s="43">
        <f t="shared" si="5"/>
        <v>2.0431747482144935E-2</v>
      </c>
      <c r="J15" s="43">
        <v>-1.1964941526820039E-2</v>
      </c>
      <c r="K15" s="8" t="s">
        <v>33</v>
      </c>
      <c r="L15" s="40">
        <f>90%*L2+10%*N2</f>
        <v>1.6690251688164789E-2</v>
      </c>
      <c r="M15" s="13">
        <f>(90%^2*L3^2+10%^2*N3^2+2*90%*10%*L3*N3*L8)^(1/2)</f>
        <v>5.8711449062746529E-2</v>
      </c>
      <c r="N15" s="13"/>
      <c r="O15" s="10"/>
      <c r="P15" s="10"/>
      <c r="Q15" s="44">
        <v>0.35</v>
      </c>
      <c r="R15">
        <f t="shared" si="7"/>
        <v>7.2515240005228508E-9</v>
      </c>
      <c r="S15">
        <f t="shared" si="8"/>
        <v>8.1524479852351037E-3</v>
      </c>
      <c r="T15">
        <f t="shared" si="9"/>
        <v>0.80351015437288942</v>
      </c>
    </row>
    <row r="16" spans="1:24" ht="15" thickBot="1" x14ac:dyDescent="0.35">
      <c r="A16" s="31">
        <v>43739</v>
      </c>
      <c r="B16">
        <v>110.39960499999999</v>
      </c>
      <c r="C16">
        <v>60.567394</v>
      </c>
      <c r="D16">
        <v>20.994667</v>
      </c>
      <c r="E16" s="33">
        <v>3037.56</v>
      </c>
      <c r="F16" s="16">
        <f t="shared" si="2"/>
        <v>1.5606314895782569E-2</v>
      </c>
      <c r="G16" s="16">
        <f t="shared" si="3"/>
        <v>7.4328590066133682E-2</v>
      </c>
      <c r="H16" s="16">
        <f t="shared" si="4"/>
        <v>4.7694635975888522E-2</v>
      </c>
      <c r="I16" s="43">
        <f t="shared" si="5"/>
        <v>3.404706409091518E-2</v>
      </c>
      <c r="J16" s="43">
        <v>1.5606314895782569E-2</v>
      </c>
      <c r="K16" s="6"/>
      <c r="L16" s="26"/>
      <c r="M16" s="27" t="s">
        <v>3</v>
      </c>
      <c r="N16" s="27"/>
      <c r="O16" s="12"/>
      <c r="P16" s="12"/>
      <c r="Q16" s="44">
        <v>0.4</v>
      </c>
      <c r="R16">
        <f t="shared" si="7"/>
        <v>1.0083249595846262E-11</v>
      </c>
      <c r="S16">
        <f t="shared" si="8"/>
        <v>1.0095336785033628E-3</v>
      </c>
      <c r="T16">
        <f t="shared" si="9"/>
        <v>0.58989181564929072</v>
      </c>
    </row>
    <row r="17" spans="1:20" ht="15" thickBot="1" x14ac:dyDescent="0.35">
      <c r="A17" s="31">
        <v>43770</v>
      </c>
      <c r="B17">
        <v>112.122536</v>
      </c>
      <c r="C17">
        <v>65.069282999999999</v>
      </c>
      <c r="D17">
        <v>21.995999999999999</v>
      </c>
      <c r="E17" s="33">
        <v>3140.98</v>
      </c>
      <c r="F17" s="16">
        <f t="shared" si="2"/>
        <v>-2.0991944028093679E-3</v>
      </c>
      <c r="G17" s="16">
        <f t="shared" si="3"/>
        <v>0.10208282147507286</v>
      </c>
      <c r="H17" s="16">
        <f t="shared" si="4"/>
        <v>0.26789716312056755</v>
      </c>
      <c r="I17" s="43">
        <f t="shared" si="5"/>
        <v>2.8589803182446305E-2</v>
      </c>
      <c r="J17" s="43">
        <v>-2.0991944028093679E-3</v>
      </c>
      <c r="K17" s="6"/>
      <c r="L17" s="26"/>
      <c r="M17" s="27"/>
      <c r="N17" s="27"/>
      <c r="O17" s="12"/>
      <c r="P17" s="12"/>
      <c r="Q17" s="44">
        <v>0.45</v>
      </c>
      <c r="R17">
        <f t="shared" si="7"/>
        <v>5.6800245405038229E-15</v>
      </c>
      <c r="S17">
        <f t="shared" si="8"/>
        <v>9.2680194359311171E-5</v>
      </c>
      <c r="T17">
        <f t="shared" si="9"/>
        <v>0.41181363146428818</v>
      </c>
    </row>
    <row r="18" spans="1:20" ht="15" thickBot="1" x14ac:dyDescent="0.35">
      <c r="A18" s="31">
        <v>43800</v>
      </c>
      <c r="B18">
        <v>111.887169</v>
      </c>
      <c r="C18">
        <v>71.711738999999994</v>
      </c>
      <c r="D18">
        <v>27.888666000000001</v>
      </c>
      <c r="E18" s="33">
        <v>3230.78</v>
      </c>
      <c r="F18" s="16">
        <f t="shared" si="2"/>
        <v>-3.2282656110460661E-2</v>
      </c>
      <c r="G18" s="16">
        <f t="shared" si="3"/>
        <v>5.4009929950241453E-2</v>
      </c>
      <c r="H18" s="16">
        <f t="shared" si="4"/>
        <v>0.55515986315014132</v>
      </c>
      <c r="I18" s="43">
        <f t="shared" si="5"/>
        <v>-1.6280898111292741E-3</v>
      </c>
      <c r="J18" s="43">
        <v>-3.2282656110460661E-2</v>
      </c>
      <c r="K18" s="8"/>
      <c r="L18" s="47" t="s">
        <v>17</v>
      </c>
      <c r="M18" s="47"/>
      <c r="N18" s="9"/>
      <c r="O18" s="10"/>
      <c r="P18" s="10"/>
      <c r="Q18" s="44" t="s">
        <v>3</v>
      </c>
    </row>
    <row r="19" spans="1:20" ht="15" thickBot="1" x14ac:dyDescent="0.35">
      <c r="A19" s="31">
        <v>43831</v>
      </c>
      <c r="B19">
        <v>108.275154</v>
      </c>
      <c r="C19">
        <v>75.584885</v>
      </c>
      <c r="D19">
        <v>43.371333999999997</v>
      </c>
      <c r="E19" s="33">
        <v>3225.52</v>
      </c>
      <c r="F19" s="16">
        <f t="shared" si="2"/>
        <v>-5.9481079103337109E-2</v>
      </c>
      <c r="G19" s="16">
        <f t="shared" si="3"/>
        <v>-0.11679770366786957</v>
      </c>
      <c r="H19" s="16">
        <f t="shared" si="4"/>
        <v>2.6776464841962389E-2</v>
      </c>
      <c r="I19" s="43">
        <f t="shared" si="5"/>
        <v>-8.4110469009648137E-2</v>
      </c>
      <c r="J19" s="43">
        <v>-5.9481079103337109E-2</v>
      </c>
      <c r="K19" s="8"/>
      <c r="L19" s="8" t="s">
        <v>10</v>
      </c>
      <c r="M19" s="8" t="s">
        <v>11</v>
      </c>
      <c r="N19" s="9"/>
      <c r="O19" s="10"/>
      <c r="P19" s="10"/>
    </row>
    <row r="20" spans="1:20" ht="15" thickBot="1" x14ac:dyDescent="0.35">
      <c r="A20" s="31">
        <v>43862</v>
      </c>
      <c r="B20">
        <v>101.83483099999999</v>
      </c>
      <c r="C20">
        <v>66.756743999999998</v>
      </c>
      <c r="D20">
        <v>44.532665000000001</v>
      </c>
      <c r="E20" s="33">
        <v>2954.22</v>
      </c>
      <c r="F20" s="16">
        <f t="shared" si="2"/>
        <v>5.5163385109364027E-2</v>
      </c>
      <c r="G20" s="16">
        <f t="shared" si="3"/>
        <v>-6.7553549346265229E-2</v>
      </c>
      <c r="H20" s="16">
        <f t="shared" si="4"/>
        <v>-0.21555707478993225</v>
      </c>
      <c r="I20" s="43">
        <f t="shared" si="5"/>
        <v>-0.12511932083595656</v>
      </c>
      <c r="J20" s="43">
        <v>5.5163385109364027E-2</v>
      </c>
      <c r="K20" s="8" t="s">
        <v>16</v>
      </c>
      <c r="L20" s="14">
        <f>IFERROR(IF(OR(1/3*L2+ 1/3*M2+1/3*N2),10%*L2+ 90%*M2+1/3*N2,""),"")</f>
        <v>4.7118999150626784E-2</v>
      </c>
      <c r="M20" s="13">
        <f>IFERROR(IF(OR(SQRT(10%^2*$L$3^2+90%^2*$M$3^2+2*10%*90%*$L$7*$L$3*$M$3)&lt;&gt;0, $L$2),SQRT(10%^2*$L$3^2+90%^2*$M$3^2+2*10%*90%*$L$7*$L$3*$M$3),""),"")</f>
        <v>8.4914981303068959E-2</v>
      </c>
      <c r="N20" s="13"/>
      <c r="O20" s="10"/>
      <c r="P20" s="10"/>
    </row>
    <row r="21" spans="1:20" ht="29.4" thickBot="1" x14ac:dyDescent="0.35">
      <c r="A21" s="31">
        <v>43891</v>
      </c>
      <c r="B21">
        <v>107.45238500000001</v>
      </c>
      <c r="C21">
        <v>62.247089000000003</v>
      </c>
      <c r="D21">
        <v>34.933334000000002</v>
      </c>
      <c r="E21" s="33">
        <v>2584.59</v>
      </c>
      <c r="F21" s="16">
        <f t="shared" si="2"/>
        <v>7.4527624491536271E-2</v>
      </c>
      <c r="G21" s="16">
        <f t="shared" si="3"/>
        <v>0.1553739163609722</v>
      </c>
      <c r="H21" s="16">
        <f t="shared" si="4"/>
        <v>0.49213733793631032</v>
      </c>
      <c r="I21" s="43">
        <f t="shared" si="5"/>
        <v>0.12684410293315374</v>
      </c>
      <c r="J21" s="43">
        <v>7.4527624491536271E-2</v>
      </c>
      <c r="K21" s="29" t="s">
        <v>18</v>
      </c>
      <c r="L21" s="14">
        <v>0.1</v>
      </c>
      <c r="M21" s="13">
        <v>0.5</v>
      </c>
      <c r="N21" s="13">
        <v>0.4</v>
      </c>
      <c r="O21" s="10"/>
      <c r="P21" s="10"/>
    </row>
    <row r="22" spans="1:20" ht="29.4" thickBot="1" x14ac:dyDescent="0.35">
      <c r="A22" s="31">
        <v>43922</v>
      </c>
      <c r="B22">
        <v>115.460556</v>
      </c>
      <c r="C22">
        <v>71.918662999999995</v>
      </c>
      <c r="D22">
        <v>52.125332</v>
      </c>
      <c r="E22" s="33">
        <v>2912.43</v>
      </c>
      <c r="F22" s="16">
        <f t="shared" si="2"/>
        <v>2.0649753323550568E-2</v>
      </c>
      <c r="G22" s="16">
        <f t="shared" si="3"/>
        <v>8.2164541907571387E-2</v>
      </c>
      <c r="H22" s="16">
        <f t="shared" si="4"/>
        <v>6.7938867036856587E-2</v>
      </c>
      <c r="I22" s="43">
        <f t="shared" si="5"/>
        <v>4.528177501261843E-2</v>
      </c>
      <c r="J22" s="43">
        <v>2.0649753323550568E-2</v>
      </c>
      <c r="K22" s="28" t="s">
        <v>19</v>
      </c>
      <c r="L22" s="14">
        <f>IFERROR(IF(OR(L21*L2+ M21*M2+N21*N2),L21*L2+ M21*M2+N21*N2,""),"")</f>
        <v>4.1260680870809835E-2</v>
      </c>
      <c r="M22" s="13">
        <f>IFERROR(IF(OR(SQRT(L21^2*L3^2+M21^2*M3^2+N21^2*N3^2+2*L21*M21*L7*L3*M3+2*L21*N21*L8*L3*N3+2*M21*N21*M8*M3*N3)&lt;&gt;0,$L$2),SQRT(L21^2*L3^2+M21^2*M3^2+N21^2*N3^2+2*L21*M21*L7*L3*M3+2*L21*N21*L8*L3*N3+2*M21*N21*M8*M3*N3),""),"")</f>
        <v>0.12593271954013108</v>
      </c>
      <c r="N22" s="13"/>
      <c r="O22" s="10"/>
      <c r="P22" s="10"/>
    </row>
    <row r="23" spans="1:20" ht="15" thickBot="1" x14ac:dyDescent="0.35">
      <c r="A23" s="31">
        <v>43952</v>
      </c>
      <c r="B23">
        <v>117.84478799999999</v>
      </c>
      <c r="C23">
        <v>77.827826999999999</v>
      </c>
      <c r="D23">
        <v>55.666668000000001</v>
      </c>
      <c r="E23" s="33">
        <v>3044.31</v>
      </c>
      <c r="F23" s="16">
        <f t="shared" si="2"/>
        <v>-3.0252199189326867E-2</v>
      </c>
      <c r="G23" s="16">
        <f t="shared" si="3"/>
        <v>0.15049227829526823</v>
      </c>
      <c r="H23" s="16">
        <f t="shared" si="4"/>
        <v>0.29318562770812862</v>
      </c>
      <c r="I23" s="43">
        <f t="shared" si="5"/>
        <v>1.8388403283502663E-2</v>
      </c>
      <c r="J23" s="43">
        <v>-3.0252199189326867E-2</v>
      </c>
      <c r="K23" s="6" t="s">
        <v>3</v>
      </c>
      <c r="L23" s="26" t="s">
        <v>38</v>
      </c>
      <c r="M23" s="27" t="s">
        <v>3</v>
      </c>
      <c r="N23" s="27"/>
      <c r="O23" s="12"/>
      <c r="P23" s="12"/>
    </row>
    <row r="24" spans="1:20" ht="15" thickBot="1" x14ac:dyDescent="0.35">
      <c r="A24" s="31">
        <v>43983</v>
      </c>
      <c r="B24">
        <v>114.279724</v>
      </c>
      <c r="C24">
        <v>89.540313999999995</v>
      </c>
      <c r="D24">
        <v>71.987335000000002</v>
      </c>
      <c r="E24" s="33">
        <v>3100.29</v>
      </c>
      <c r="F24" s="16">
        <f t="shared" si="2"/>
        <v>8.0313792147415297E-2</v>
      </c>
      <c r="G24" s="16">
        <f t="shared" si="3"/>
        <v>0.16513167465550782</v>
      </c>
      <c r="H24" s="16">
        <f t="shared" si="4"/>
        <v>0.32501089254102822</v>
      </c>
      <c r="I24" s="43">
        <f t="shared" si="5"/>
        <v>5.5101296975444303E-2</v>
      </c>
      <c r="J24" s="43">
        <v>8.0313792147415297E-2</v>
      </c>
      <c r="L24" s="1" t="s">
        <v>39</v>
      </c>
    </row>
    <row r="25" spans="1:20" ht="15" thickBot="1" x14ac:dyDescent="0.35">
      <c r="A25" s="31">
        <v>44013</v>
      </c>
      <c r="B25">
        <v>123.45796199999999</v>
      </c>
      <c r="C25">
        <v>104.326256</v>
      </c>
      <c r="D25">
        <v>95.384003000000007</v>
      </c>
      <c r="E25" s="33">
        <v>3271.12</v>
      </c>
      <c r="F25" s="16">
        <f t="shared" si="2"/>
        <v>7.3029457589782742E-2</v>
      </c>
      <c r="G25" s="16">
        <f t="shared" si="3"/>
        <v>0.21437971472876383</v>
      </c>
      <c r="H25" s="16">
        <f t="shared" si="4"/>
        <v>0.74145211750024775</v>
      </c>
      <c r="I25" s="43">
        <f t="shared" si="5"/>
        <v>7.0064687324219221E-2</v>
      </c>
      <c r="J25" s="43">
        <v>7.3029457589782742E-2</v>
      </c>
      <c r="K25" s="18"/>
      <c r="L25" s="17" t="s">
        <v>34</v>
      </c>
      <c r="M25" s="17" t="s">
        <v>35</v>
      </c>
      <c r="N25" s="17" t="s">
        <v>36</v>
      </c>
      <c r="O25" s="17" t="s">
        <v>20</v>
      </c>
      <c r="P25" s="17" t="s">
        <v>21</v>
      </c>
    </row>
    <row r="26" spans="1:20" ht="15" thickBot="1" x14ac:dyDescent="0.35">
      <c r="A26" s="31">
        <v>44044</v>
      </c>
      <c r="B26">
        <v>132.47403</v>
      </c>
      <c r="C26">
        <v>126.691689</v>
      </c>
      <c r="D26">
        <v>166.106674</v>
      </c>
      <c r="E26" s="33">
        <v>3500.31</v>
      </c>
      <c r="F26" s="16">
        <f t="shared" si="2"/>
        <v>1.1776791269956899E-2</v>
      </c>
      <c r="G26" s="16">
        <f t="shared" si="3"/>
        <v>-0.10090822926829868</v>
      </c>
      <c r="H26" s="16">
        <f t="shared" si="4"/>
        <v>-0.13908741559655824</v>
      </c>
      <c r="I26" s="43">
        <f t="shared" si="5"/>
        <v>-3.9227954095494399E-2</v>
      </c>
      <c r="J26" s="43">
        <v>1.1776791269956899E-2</v>
      </c>
      <c r="K26" s="17" t="s">
        <v>6</v>
      </c>
      <c r="L26" s="41">
        <f>SLOPE(F2:F60,I2:I60)</f>
        <v>0.49656652284908465</v>
      </c>
      <c r="M26" s="23">
        <f>SLOPE(G2:G60,I2:I60)</f>
        <v>1.2685598185533917</v>
      </c>
      <c r="N26" s="23">
        <f>SLOPE(H2:H60,I2:I60)</f>
        <v>2.0944291413172498</v>
      </c>
      <c r="O26" s="23">
        <f>IFERROR(IF(OR(SLOPE(I2:I61,$I$2:$I$61)),SLOPE(I2:I61,$I2:$I$61),""),"")</f>
        <v>1</v>
      </c>
      <c r="P26" s="30">
        <f>50%*L26+50%*M26</f>
        <v>0.88256317070123824</v>
      </c>
    </row>
    <row r="27" spans="1:20" ht="15" thickBot="1" x14ac:dyDescent="0.35">
      <c r="A27" s="31">
        <v>44075</v>
      </c>
      <c r="B27">
        <v>134.03414900000001</v>
      </c>
      <c r="C27">
        <v>113.907455</v>
      </c>
      <c r="D27">
        <v>143.00332599999999</v>
      </c>
      <c r="E27" s="33">
        <v>3363</v>
      </c>
      <c r="F27" s="16">
        <f t="shared" si="2"/>
        <v>-8.2911482505850786E-3</v>
      </c>
      <c r="G27" s="16">
        <f t="shared" si="3"/>
        <v>-6.0012007115776589E-2</v>
      </c>
      <c r="H27" s="16">
        <f t="shared" si="4"/>
        <v>-9.5498911682655452E-2</v>
      </c>
      <c r="I27" s="43">
        <f t="shared" si="5"/>
        <v>-2.7665774606006499E-2</v>
      </c>
      <c r="J27" s="43">
        <v>-8.2911482505850786E-3</v>
      </c>
    </row>
    <row r="28" spans="1:20" ht="15" thickBot="1" x14ac:dyDescent="0.35">
      <c r="A28" s="31">
        <v>44105</v>
      </c>
      <c r="B28">
        <v>132.92285200000001</v>
      </c>
      <c r="C28">
        <v>107.07164</v>
      </c>
      <c r="D28">
        <v>129.346664</v>
      </c>
      <c r="E28" s="33">
        <v>3269.96</v>
      </c>
      <c r="F28" s="16">
        <f t="shared" si="2"/>
        <v>0.10118912435011551</v>
      </c>
      <c r="G28" s="16">
        <f t="shared" si="3"/>
        <v>9.3606467594967269E-2</v>
      </c>
      <c r="H28" s="16">
        <f t="shared" si="4"/>
        <v>0.46273580739585207</v>
      </c>
      <c r="I28" s="43">
        <f t="shared" si="5"/>
        <v>0.10754565805086314</v>
      </c>
      <c r="J28" s="43">
        <v>0.10118912435011551</v>
      </c>
      <c r="K28" s="24" t="s">
        <v>12</v>
      </c>
      <c r="L28" s="25" t="s">
        <v>13</v>
      </c>
      <c r="M28" s="19">
        <v>0.02</v>
      </c>
    </row>
    <row r="29" spans="1:20" ht="15" thickBot="1" x14ac:dyDescent="0.35">
      <c r="A29" s="31">
        <v>44136</v>
      </c>
      <c r="B29">
        <v>146.373199</v>
      </c>
      <c r="C29">
        <v>117.094238</v>
      </c>
      <c r="D29">
        <v>189.199997</v>
      </c>
      <c r="E29" s="33">
        <v>3621.63</v>
      </c>
      <c r="F29" s="16">
        <f t="shared" si="2"/>
        <v>-5.6548227794078532E-2</v>
      </c>
      <c r="G29" s="16">
        <f t="shared" si="3"/>
        <v>0.11649674854197345</v>
      </c>
      <c r="H29" s="16">
        <f t="shared" si="4"/>
        <v>0.2432522818697509</v>
      </c>
      <c r="I29" s="43">
        <f t="shared" si="5"/>
        <v>3.712140665943231E-2</v>
      </c>
      <c r="J29" s="43">
        <v>-5.6548227794078532E-2</v>
      </c>
      <c r="K29" s="24" t="s">
        <v>3</v>
      </c>
      <c r="L29" s="25" t="s">
        <v>14</v>
      </c>
      <c r="M29" s="19">
        <v>0.08</v>
      </c>
    </row>
    <row r="30" spans="1:20" ht="15" thickBot="1" x14ac:dyDescent="0.35">
      <c r="A30" s="31">
        <v>44166</v>
      </c>
      <c r="B30">
        <v>138.09605400000001</v>
      </c>
      <c r="C30">
        <v>130.73533599999999</v>
      </c>
      <c r="D30">
        <v>235.22332800000001</v>
      </c>
      <c r="E30" s="33">
        <v>3756.07</v>
      </c>
      <c r="F30" s="16">
        <f t="shared" si="2"/>
        <v>-2.1827654829297383E-2</v>
      </c>
      <c r="G30" s="16">
        <f t="shared" si="3"/>
        <v>-5.5015959877899867E-3</v>
      </c>
      <c r="H30" s="16">
        <f t="shared" si="4"/>
        <v>0.12450585683406379</v>
      </c>
      <c r="I30" s="43">
        <f t="shared" si="5"/>
        <v>-1.1136640158463607E-2</v>
      </c>
      <c r="J30" s="43">
        <v>-2.1827654829297383E-2</v>
      </c>
      <c r="K30" s="48" t="s">
        <v>15</v>
      </c>
      <c r="L30" s="48"/>
      <c r="M30" s="48"/>
      <c r="N30" s="48"/>
      <c r="O30" s="48"/>
      <c r="P30" s="48"/>
      <c r="Q30" s="20"/>
    </row>
    <row r="31" spans="1:20" ht="15" thickBot="1" x14ac:dyDescent="0.35">
      <c r="A31" s="31">
        <v>44197</v>
      </c>
      <c r="B31">
        <v>135.08174099999999</v>
      </c>
      <c r="C31">
        <v>130.01608300000001</v>
      </c>
      <c r="D31">
        <v>264.51001000000002</v>
      </c>
      <c r="E31" s="33">
        <v>3714.24</v>
      </c>
      <c r="F31" s="16">
        <f t="shared" si="2"/>
        <v>-7.5236615435686383E-2</v>
      </c>
      <c r="G31" s="16">
        <f t="shared" si="3"/>
        <v>-8.108526850482034E-2</v>
      </c>
      <c r="H31" s="16">
        <f t="shared" si="4"/>
        <v>-0.14874045031414884</v>
      </c>
      <c r="I31" s="43">
        <f t="shared" si="5"/>
        <v>2.6091474971999817E-2</v>
      </c>
      <c r="J31" s="43">
        <v>-7.5236615435686383E-2</v>
      </c>
      <c r="K31" s="20"/>
      <c r="L31" s="17" t="s">
        <v>34</v>
      </c>
      <c r="M31" s="17" t="s">
        <v>35</v>
      </c>
      <c r="N31" s="21" t="s">
        <v>36</v>
      </c>
      <c r="O31" s="21" t="s">
        <v>8</v>
      </c>
      <c r="P31" s="21" t="s">
        <v>9</v>
      </c>
      <c r="Q31" s="21" t="s">
        <v>22</v>
      </c>
    </row>
    <row r="32" spans="1:20" ht="15" thickBot="1" x14ac:dyDescent="0.35">
      <c r="A32" s="31">
        <v>44228</v>
      </c>
      <c r="B32">
        <v>124.918648</v>
      </c>
      <c r="C32">
        <v>119.47369399999999</v>
      </c>
      <c r="D32">
        <v>225.16667200000001</v>
      </c>
      <c r="E32" s="33">
        <v>3811.15</v>
      </c>
      <c r="F32" s="16">
        <f t="shared" si="2"/>
        <v>4.5489629378633545E-2</v>
      </c>
      <c r="G32" s="16">
        <f t="shared" si="3"/>
        <v>8.844767116684249E-3</v>
      </c>
      <c r="H32" s="16">
        <f t="shared" si="4"/>
        <v>-1.1206569682745915E-2</v>
      </c>
      <c r="I32" s="43">
        <f t="shared" si="5"/>
        <v>4.2438634008107767E-2</v>
      </c>
      <c r="J32" s="43">
        <v>4.5489629378633545E-2</v>
      </c>
      <c r="K32" s="21" t="s">
        <v>6</v>
      </c>
      <c r="L32" s="22">
        <f>IFERROR(IF(OR(L26),L26,""),"")</f>
        <v>0.49656652284908465</v>
      </c>
      <c r="M32" s="22">
        <f t="shared" ref="M32:N32" si="10">IFERROR(IF(OR(M26),M26,""),"")</f>
        <v>1.2685598185533917</v>
      </c>
      <c r="N32" s="22">
        <f t="shared" si="10"/>
        <v>2.0944291413172498</v>
      </c>
      <c r="O32" s="22">
        <v>0</v>
      </c>
      <c r="P32" s="22">
        <v>1</v>
      </c>
      <c r="Q32" s="22">
        <f>IFERROR(IF(OR(P26),P26,""),"")</f>
        <v>0.88256317070123824</v>
      </c>
    </row>
    <row r="33" spans="1:17" ht="15" thickBot="1" x14ac:dyDescent="0.35">
      <c r="A33" s="31">
        <v>44256</v>
      </c>
      <c r="B33">
        <v>130.60115099999999</v>
      </c>
      <c r="C33">
        <v>120.530411</v>
      </c>
      <c r="D33">
        <v>222.643326</v>
      </c>
      <c r="E33" s="33">
        <v>3972.89</v>
      </c>
      <c r="F33" s="16">
        <f t="shared" si="2"/>
        <v>3.4338043467932344E-2</v>
      </c>
      <c r="G33" s="16">
        <f t="shared" si="3"/>
        <v>7.6217727325263995E-2</v>
      </c>
      <c r="H33" s="16">
        <f t="shared" si="4"/>
        <v>6.2147248015869128E-2</v>
      </c>
      <c r="I33" s="43">
        <f t="shared" si="5"/>
        <v>5.242531255584737E-2</v>
      </c>
      <c r="J33" s="43">
        <v>3.4338043467932344E-2</v>
      </c>
      <c r="K33" s="21" t="s">
        <v>7</v>
      </c>
      <c r="L33" s="14">
        <f>2%+0.5*(8%-2%)</f>
        <v>0.05</v>
      </c>
      <c r="M33" s="14">
        <f>2%+1.27*(8%-2%)</f>
        <v>9.6200000000000008E-2</v>
      </c>
      <c r="N33" s="14">
        <f>2%+2.09*(8%-2%)</f>
        <v>0.14539999999999997</v>
      </c>
      <c r="O33" s="14">
        <f>IFERROR(IF(OR($M$28+O32*($M$29-$M$28)),$M28+O32*($M$29-$M$28),""),"")</f>
        <v>0.02</v>
      </c>
      <c r="P33" s="14">
        <f>IFERROR(IF(OR($M$28+P32*($M$29-$M$28)),$M28+P32*($M$29-$M$28),""),"")</f>
        <v>0.08</v>
      </c>
      <c r="Q33" s="14">
        <f>2%+0.88*(8%-2%)</f>
        <v>7.2800000000000004E-2</v>
      </c>
    </row>
    <row r="34" spans="1:17" ht="15" thickBot="1" x14ac:dyDescent="0.35">
      <c r="A34" s="31">
        <v>44287</v>
      </c>
      <c r="B34">
        <v>135.08573899999999</v>
      </c>
      <c r="C34">
        <v>129.71696499999999</v>
      </c>
      <c r="D34">
        <v>236.479996</v>
      </c>
      <c r="E34" s="33">
        <v>4181.17</v>
      </c>
      <c r="F34" s="16">
        <f t="shared" si="2"/>
        <v>1.5152413682987032E-2</v>
      </c>
      <c r="G34" s="16">
        <f t="shared" si="3"/>
        <v>-5.2106892880202538E-2</v>
      </c>
      <c r="H34" s="16">
        <f t="shared" si="4"/>
        <v>-0.11871335620286461</v>
      </c>
      <c r="I34" s="43">
        <f t="shared" si="5"/>
        <v>5.4865025818131574E-3</v>
      </c>
      <c r="J34" s="43">
        <v>1.5152413682987032E-2</v>
      </c>
      <c r="L34" s="1" t="s">
        <v>37</v>
      </c>
    </row>
    <row r="35" spans="1:17" ht="15" thickBot="1" x14ac:dyDescent="0.35">
      <c r="A35" s="31">
        <v>44317</v>
      </c>
      <c r="B35">
        <v>137.13261399999999</v>
      </c>
      <c r="C35">
        <v>122.95781700000001</v>
      </c>
      <c r="D35">
        <v>208.40666200000001</v>
      </c>
      <c r="E35" s="33">
        <v>4204.1099999999997</v>
      </c>
      <c r="F35" s="16">
        <f t="shared" si="2"/>
        <v>-3.2119273975190765E-3</v>
      </c>
      <c r="G35" s="16">
        <f t="shared" si="3"/>
        <v>0.10097629661073104</v>
      </c>
      <c r="H35" s="16">
        <f t="shared" si="4"/>
        <v>8.7137348805097048E-2</v>
      </c>
      <c r="I35" s="43">
        <f t="shared" si="5"/>
        <v>2.221397632316946E-2</v>
      </c>
      <c r="J35" s="43">
        <v>-3.2119273975190765E-3</v>
      </c>
    </row>
    <row r="36" spans="1:17" ht="15" thickBot="1" x14ac:dyDescent="0.35">
      <c r="A36" s="31">
        <v>44348</v>
      </c>
      <c r="B36">
        <v>136.69215399999999</v>
      </c>
      <c r="C36">
        <v>135.37364199999999</v>
      </c>
      <c r="D36">
        <v>226.566666</v>
      </c>
      <c r="E36" s="33">
        <v>4297.5</v>
      </c>
      <c r="F36" s="16">
        <f t="shared" si="2"/>
        <v>1.0849766841775077E-2</v>
      </c>
      <c r="G36" s="16">
        <f t="shared" si="3"/>
        <v>6.4982295445667582E-2</v>
      </c>
      <c r="H36" s="16">
        <f t="shared" si="4"/>
        <v>1.1034279861804608E-2</v>
      </c>
      <c r="I36" s="43">
        <f t="shared" si="5"/>
        <v>2.274810936591054E-2</v>
      </c>
      <c r="J36" s="43">
        <v>1.0849766841775077E-2</v>
      </c>
    </row>
    <row r="37" spans="1:17" ht="15" thickBot="1" x14ac:dyDescent="0.35">
      <c r="A37" s="31">
        <v>44378</v>
      </c>
      <c r="B37">
        <v>138.17523199999999</v>
      </c>
      <c r="C37">
        <v>144.17053200000001</v>
      </c>
      <c r="D37">
        <v>229.066666</v>
      </c>
      <c r="E37" s="33">
        <v>4395.26</v>
      </c>
      <c r="F37" s="16">
        <f t="shared" si="2"/>
        <v>3.8933562275473621E-2</v>
      </c>
      <c r="G37" s="16">
        <f t="shared" si="3"/>
        <v>4.0929647120952595E-2</v>
      </c>
      <c r="H37" s="16">
        <f t="shared" si="4"/>
        <v>7.0605380007582541E-2</v>
      </c>
      <c r="I37" s="43">
        <f t="shared" si="5"/>
        <v>2.8990321391681118E-2</v>
      </c>
      <c r="J37" s="43">
        <v>3.8933562275473621E-2</v>
      </c>
    </row>
    <row r="38" spans="1:17" ht="15" thickBot="1" x14ac:dyDescent="0.35">
      <c r="A38" s="31">
        <v>44409</v>
      </c>
      <c r="B38">
        <v>143.55488600000001</v>
      </c>
      <c r="C38">
        <v>150.071381</v>
      </c>
      <c r="D38">
        <v>245.240005</v>
      </c>
      <c r="E38" s="33">
        <v>4522.68</v>
      </c>
      <c r="F38" s="16">
        <f t="shared" si="2"/>
        <v>-5.5415954285248037E-2</v>
      </c>
      <c r="G38" s="16">
        <f t="shared" si="3"/>
        <v>-6.6640247683200871E-2</v>
      </c>
      <c r="H38" s="16">
        <f t="shared" si="4"/>
        <v>5.4042332938298632E-2</v>
      </c>
      <c r="I38" s="43">
        <f t="shared" si="5"/>
        <v>-4.7569140421166334E-2</v>
      </c>
      <c r="J38" s="43">
        <v>-5.5415954285248037E-2</v>
      </c>
    </row>
    <row r="39" spans="1:17" ht="15" thickBot="1" x14ac:dyDescent="0.35">
      <c r="A39" s="31">
        <v>44440</v>
      </c>
      <c r="B39">
        <v>135.59965500000001</v>
      </c>
      <c r="C39">
        <v>140.07058699999999</v>
      </c>
      <c r="D39">
        <v>258.49334700000003</v>
      </c>
      <c r="E39" s="33">
        <v>4307.54</v>
      </c>
      <c r="F39" s="16">
        <f t="shared" si="2"/>
        <v>7.2033258491697394E-2</v>
      </c>
      <c r="G39" s="16">
        <f t="shared" si="3"/>
        <v>5.8657146914077085E-2</v>
      </c>
      <c r="H39" s="16">
        <f t="shared" si="4"/>
        <v>0.43652959857415574</v>
      </c>
      <c r="I39" s="43">
        <f t="shared" si="5"/>
        <v>6.9143873301234615E-2</v>
      </c>
      <c r="J39" s="43">
        <v>7.2033258491697394E-2</v>
      </c>
    </row>
    <row r="40" spans="1:17" ht="15" thickBot="1" x14ac:dyDescent="0.35">
      <c r="A40" s="31">
        <v>44470</v>
      </c>
      <c r="B40">
        <v>145.36734000000001</v>
      </c>
      <c r="C40">
        <v>148.28672800000001</v>
      </c>
      <c r="D40">
        <v>371.33334400000001</v>
      </c>
      <c r="E40" s="33">
        <v>4605.38</v>
      </c>
      <c r="F40" s="16">
        <f t="shared" si="2"/>
        <v>-5.8827237259758802E-2</v>
      </c>
      <c r="G40" s="16">
        <f t="shared" si="3"/>
        <v>0.10347125603850404</v>
      </c>
      <c r="H40" s="16">
        <f t="shared" si="4"/>
        <v>2.7612187716705705E-2</v>
      </c>
      <c r="I40" s="43">
        <f t="shared" si="5"/>
        <v>-8.3337314184714906E-3</v>
      </c>
      <c r="J40" s="43">
        <v>-5.8827237259758802E-2</v>
      </c>
      <c r="L40" s="19"/>
    </row>
    <row r="41" spans="1:17" ht="15" thickBot="1" x14ac:dyDescent="0.35">
      <c r="A41" s="31">
        <v>44501</v>
      </c>
      <c r="B41">
        <v>136.81578099999999</v>
      </c>
      <c r="C41">
        <v>163.63014200000001</v>
      </c>
      <c r="D41">
        <v>381.58667000000003</v>
      </c>
      <c r="E41" s="33">
        <v>4567</v>
      </c>
      <c r="F41" s="16">
        <f t="shared" si="2"/>
        <v>2.8870024869426469E-2</v>
      </c>
      <c r="G41" s="16">
        <f t="shared" si="3"/>
        <v>7.5796566869690718E-2</v>
      </c>
      <c r="H41" s="16">
        <f t="shared" si="4"/>
        <v>-7.6854519053299208E-2</v>
      </c>
      <c r="I41" s="43">
        <f t="shared" si="5"/>
        <v>4.3612874972629889E-2</v>
      </c>
      <c r="J41" s="43">
        <v>2.8870024869426469E-2</v>
      </c>
      <c r="L41" s="19"/>
    </row>
    <row r="42" spans="1:17" ht="15" thickBot="1" x14ac:dyDescent="0.35">
      <c r="A42" s="31">
        <v>44531</v>
      </c>
      <c r="B42">
        <v>140.76565600000001</v>
      </c>
      <c r="C42">
        <v>176.03274500000001</v>
      </c>
      <c r="D42">
        <v>352.26001000000002</v>
      </c>
      <c r="E42" s="33">
        <v>4766.18</v>
      </c>
      <c r="F42" s="16">
        <f t="shared" si="2"/>
        <v>-2.9836915618110749E-2</v>
      </c>
      <c r="G42" s="16">
        <f t="shared" si="3"/>
        <v>-1.5712156280923817E-2</v>
      </c>
      <c r="H42" s="16">
        <f t="shared" si="4"/>
        <v>-0.11360931943424413</v>
      </c>
      <c r="I42" s="43">
        <f t="shared" si="5"/>
        <v>-5.2585089106999772E-2</v>
      </c>
      <c r="J42" s="43">
        <v>-2.9836915618110749E-2</v>
      </c>
    </row>
    <row r="43" spans="1:17" ht="15" thickBot="1" x14ac:dyDescent="0.35">
      <c r="A43" s="31">
        <v>44562</v>
      </c>
      <c r="B43">
        <v>136.56564299999999</v>
      </c>
      <c r="C43">
        <v>173.26689099999999</v>
      </c>
      <c r="D43">
        <v>312.23998999999998</v>
      </c>
      <c r="E43" s="33">
        <v>4515.55</v>
      </c>
      <c r="F43" s="16">
        <f t="shared" si="2"/>
        <v>-3.325933888071686E-2</v>
      </c>
      <c r="G43" s="16">
        <f t="shared" si="3"/>
        <v>-5.5269560991891953E-2</v>
      </c>
      <c r="H43" s="16">
        <f t="shared" si="4"/>
        <v>-7.0768158172180184E-2</v>
      </c>
      <c r="I43" s="43">
        <f t="shared" si="5"/>
        <v>-3.1360520866782648E-2</v>
      </c>
      <c r="J43" s="43">
        <v>-3.325933888071686E-2</v>
      </c>
    </row>
    <row r="44" spans="1:17" ht="15" thickBot="1" x14ac:dyDescent="0.35">
      <c r="A44" s="31">
        <v>44593</v>
      </c>
      <c r="B44">
        <v>132.02356</v>
      </c>
      <c r="C44">
        <v>163.690506</v>
      </c>
      <c r="D44">
        <v>290.14334100000002</v>
      </c>
      <c r="E44" s="33">
        <v>4373.9399999999996</v>
      </c>
      <c r="F44" s="16">
        <f t="shared" si="2"/>
        <v>0.10180523082395276</v>
      </c>
      <c r="G44" s="16">
        <f t="shared" si="3"/>
        <v>5.8820778524565132E-2</v>
      </c>
      <c r="H44" s="16">
        <f t="shared" si="4"/>
        <v>0.2380088088942216</v>
      </c>
      <c r="I44" s="43">
        <f t="shared" si="5"/>
        <v>3.5773238773280092E-2</v>
      </c>
      <c r="J44" s="43">
        <v>0.10180523082395276</v>
      </c>
    </row>
    <row r="45" spans="1:17" ht="15" thickBot="1" x14ac:dyDescent="0.35">
      <c r="A45" s="31">
        <v>44621</v>
      </c>
      <c r="B45">
        <v>145.464249</v>
      </c>
      <c r="C45">
        <v>173.31890899999999</v>
      </c>
      <c r="D45">
        <v>359.20001200000002</v>
      </c>
      <c r="E45" s="33">
        <v>4530.41</v>
      </c>
      <c r="F45" s="16">
        <f t="shared" si="2"/>
        <v>3.1303519808499436E-2</v>
      </c>
      <c r="G45" s="16">
        <f t="shared" si="3"/>
        <v>-9.7130832966413339E-2</v>
      </c>
      <c r="H45" s="16">
        <f t="shared" si="4"/>
        <v>-0.19194511051408314</v>
      </c>
      <c r="I45" s="43">
        <f t="shared" si="5"/>
        <v>-8.7956719149039353E-2</v>
      </c>
      <c r="J45" s="43">
        <v>3.1303519808499436E-2</v>
      </c>
    </row>
    <row r="46" spans="1:17" ht="15" thickBot="1" x14ac:dyDescent="0.35">
      <c r="A46" s="31">
        <v>44652</v>
      </c>
      <c r="B46">
        <v>150.01779199999999</v>
      </c>
      <c r="C46">
        <v>156.48429899999999</v>
      </c>
      <c r="D46">
        <v>290.25332600000002</v>
      </c>
      <c r="E46" s="33">
        <v>4131.93</v>
      </c>
      <c r="F46" s="16">
        <f t="shared" si="2"/>
        <v>-0.15922606033289699</v>
      </c>
      <c r="G46" s="16">
        <f t="shared" si="3"/>
        <v>-5.5883389297733843E-2</v>
      </c>
      <c r="H46" s="16">
        <f t="shared" si="4"/>
        <v>-0.12919748592303826</v>
      </c>
      <c r="I46" s="43">
        <f t="shared" si="5"/>
        <v>5.3243883608722342E-5</v>
      </c>
      <c r="J46" s="43">
        <v>-0.15922606033289699</v>
      </c>
    </row>
    <row r="47" spans="1:17" ht="15" thickBot="1" x14ac:dyDescent="0.35">
      <c r="A47" s="31">
        <v>44682</v>
      </c>
      <c r="B47">
        <v>126.13105</v>
      </c>
      <c r="C47">
        <v>147.73942600000001</v>
      </c>
      <c r="D47">
        <v>252.75332599999999</v>
      </c>
      <c r="E47" s="33">
        <v>4132.1499999999996</v>
      </c>
      <c r="F47" s="16">
        <f t="shared" si="2"/>
        <v>-5.1372679447289182E-2</v>
      </c>
      <c r="G47" s="16">
        <f t="shared" si="3"/>
        <v>-8.0079930728849558E-2</v>
      </c>
      <c r="H47" s="16">
        <f t="shared" si="4"/>
        <v>-0.11188773832396559</v>
      </c>
      <c r="I47" s="43">
        <f t="shared" si="5"/>
        <v>-8.3919993223866451E-2</v>
      </c>
      <c r="J47" s="43">
        <v>-5.1372679447289182E-2</v>
      </c>
    </row>
    <row r="48" spans="1:17" ht="15" thickBot="1" x14ac:dyDescent="0.35">
      <c r="A48" s="31">
        <v>44713</v>
      </c>
      <c r="B48">
        <v>119.65136</v>
      </c>
      <c r="C48">
        <v>135.90846300000001</v>
      </c>
      <c r="D48">
        <v>224.47332800000001</v>
      </c>
      <c r="E48" s="33">
        <v>3785.38</v>
      </c>
      <c r="F48" s="16">
        <f t="shared" si="2"/>
        <v>8.6116162825061071E-2</v>
      </c>
      <c r="G48" s="16">
        <f t="shared" si="3"/>
        <v>0.18863370561404991</v>
      </c>
      <c r="H48" s="16">
        <f t="shared" si="4"/>
        <v>0.32376526265962413</v>
      </c>
      <c r="I48" s="43">
        <f t="shared" si="5"/>
        <v>9.1116347632205885E-2</v>
      </c>
      <c r="J48" s="43">
        <v>8.6116162825061071E-2</v>
      </c>
    </row>
    <row r="49" spans="1:10" ht="15" thickBot="1" x14ac:dyDescent="0.35">
      <c r="A49" s="31">
        <v>44743</v>
      </c>
      <c r="B49">
        <v>129.955276</v>
      </c>
      <c r="C49">
        <v>161.54537999999999</v>
      </c>
      <c r="D49">
        <v>297.14999399999999</v>
      </c>
      <c r="E49" s="33">
        <v>4130.29</v>
      </c>
      <c r="F49" s="16">
        <f t="shared" si="2"/>
        <v>3.786541148202538E-3</v>
      </c>
      <c r="G49" s="16">
        <f t="shared" si="3"/>
        <v>-3.2551881087530821E-2</v>
      </c>
      <c r="H49" s="16">
        <f t="shared" si="4"/>
        <v>-7.2488673851361374E-2</v>
      </c>
      <c r="I49" s="43">
        <f t="shared" si="5"/>
        <v>-4.2440119216810457E-2</v>
      </c>
      <c r="J49" s="43">
        <v>3.786541148202538E-3</v>
      </c>
    </row>
    <row r="50" spans="1:10" ht="15" thickBot="1" x14ac:dyDescent="0.35">
      <c r="A50" s="31">
        <v>44774</v>
      </c>
      <c r="B50">
        <v>130.44735700000001</v>
      </c>
      <c r="C50">
        <v>156.28677400000001</v>
      </c>
      <c r="D50">
        <v>275.60998499999999</v>
      </c>
      <c r="E50" s="33">
        <v>3955</v>
      </c>
      <c r="F50" s="16">
        <f t="shared" si="2"/>
        <v>-1.7239797353655884E-2</v>
      </c>
      <c r="G50" s="16">
        <f t="shared" si="3"/>
        <v>-0.11975609657154995</v>
      </c>
      <c r="H50" s="16">
        <f t="shared" si="4"/>
        <v>-3.7589294887121039E-2</v>
      </c>
      <c r="I50" s="43">
        <f t="shared" si="5"/>
        <v>-9.3395701643489315E-2</v>
      </c>
      <c r="J50" s="43">
        <v>-1.7239797353655884E-2</v>
      </c>
    </row>
    <row r="51" spans="1:10" ht="15" thickBot="1" x14ac:dyDescent="0.35">
      <c r="A51" s="31">
        <v>44805</v>
      </c>
      <c r="B51">
        <v>128.19847100000001</v>
      </c>
      <c r="C51">
        <v>137.57048</v>
      </c>
      <c r="D51">
        <v>265.25</v>
      </c>
      <c r="E51" s="33">
        <v>3585.62</v>
      </c>
      <c r="F51" s="16">
        <f t="shared" si="2"/>
        <v>9.7378540497569555E-2</v>
      </c>
      <c r="G51" s="16">
        <f t="shared" si="3"/>
        <v>0.10955156222468654</v>
      </c>
      <c r="H51" s="16">
        <f t="shared" si="4"/>
        <v>-0.14216779264844481</v>
      </c>
      <c r="I51" s="43">
        <f t="shared" si="5"/>
        <v>7.9863454576893256E-2</v>
      </c>
      <c r="J51" s="43">
        <v>9.7378540497569555E-2</v>
      </c>
    </row>
    <row r="52" spans="1:10" ht="15" thickBot="1" x14ac:dyDescent="0.35">
      <c r="A52" s="31">
        <v>44835</v>
      </c>
      <c r="B52">
        <v>140.68225100000001</v>
      </c>
      <c r="C52">
        <v>152.64154099999999</v>
      </c>
      <c r="D52">
        <v>227.53999300000001</v>
      </c>
      <c r="E52" s="33">
        <v>3871.98</v>
      </c>
      <c r="F52" s="16">
        <f t="shared" si="2"/>
        <v>7.0891600959668954E-2</v>
      </c>
      <c r="G52" s="16">
        <f t="shared" si="3"/>
        <v>-3.4629026707742594E-2</v>
      </c>
      <c r="H52" s="16">
        <f t="shared" si="4"/>
        <v>-0.14432625916447139</v>
      </c>
      <c r="I52" s="43">
        <f t="shared" si="5"/>
        <v>5.3752860293699856E-2</v>
      </c>
      <c r="J52" s="43">
        <v>7.0891600959668954E-2</v>
      </c>
    </row>
    <row r="53" spans="1:10" ht="15" thickBot="1" x14ac:dyDescent="0.35">
      <c r="A53" s="31">
        <v>44866</v>
      </c>
      <c r="B53">
        <v>150.655441</v>
      </c>
      <c r="C53">
        <v>147.35571300000001</v>
      </c>
      <c r="D53">
        <v>194.699997</v>
      </c>
      <c r="E53" s="33">
        <v>4080.11</v>
      </c>
      <c r="F53" s="16">
        <f t="shared" si="2"/>
        <v>-6.9741643117954166E-2</v>
      </c>
      <c r="G53" s="16">
        <f t="shared" si="3"/>
        <v>-0.12081644910503075</v>
      </c>
      <c r="H53" s="16">
        <f t="shared" si="4"/>
        <v>-0.36733435080638444</v>
      </c>
      <c r="I53" s="43">
        <f t="shared" si="5"/>
        <v>-5.8971449299161094E-2</v>
      </c>
      <c r="J53" s="43">
        <v>-6.9741643117954166E-2</v>
      </c>
    </row>
    <row r="54" spans="1:10" ht="15" thickBot="1" x14ac:dyDescent="0.35">
      <c r="A54" s="31">
        <v>44896</v>
      </c>
      <c r="B54">
        <v>140.148483</v>
      </c>
      <c r="C54">
        <v>129.552719</v>
      </c>
      <c r="D54">
        <v>123.18</v>
      </c>
      <c r="E54" s="33">
        <v>3839.5</v>
      </c>
      <c r="F54" s="16">
        <f t="shared" si="2"/>
        <v>1.8494855916492581E-2</v>
      </c>
      <c r="G54" s="16">
        <f t="shared" si="3"/>
        <v>0.11052101500085065</v>
      </c>
      <c r="H54" s="16">
        <f t="shared" si="4"/>
        <v>0.40623478649131339</v>
      </c>
      <c r="I54" s="43">
        <f t="shared" si="5"/>
        <v>6.1752832400052027E-2</v>
      </c>
      <c r="J54" s="43">
        <v>1.8494855916492581E-2</v>
      </c>
    </row>
    <row r="55" spans="1:10" ht="15" thickBot="1" x14ac:dyDescent="0.35">
      <c r="A55" s="31">
        <v>44927</v>
      </c>
      <c r="B55">
        <v>142.740509</v>
      </c>
      <c r="C55">
        <v>143.87101699999999</v>
      </c>
      <c r="D55">
        <v>173.220001</v>
      </c>
      <c r="E55" s="33">
        <v>4076.6</v>
      </c>
      <c r="F55" s="16">
        <f t="shared" si="2"/>
        <v>-1.2094317248091069E-2</v>
      </c>
      <c r="G55" s="16">
        <f t="shared" si="3"/>
        <v>2.1623166811978622E-2</v>
      </c>
      <c r="H55" s="16">
        <f t="shared" si="4"/>
        <v>0.18756497986626841</v>
      </c>
      <c r="I55" s="43">
        <f t="shared" si="5"/>
        <v>-2.6112446646715304E-2</v>
      </c>
      <c r="J55" s="43">
        <v>-1.2094317248091069E-2</v>
      </c>
    </row>
    <row r="56" spans="1:10" ht="15" thickBot="1" x14ac:dyDescent="0.35">
      <c r="A56" s="31">
        <v>44958</v>
      </c>
      <c r="B56">
        <v>141.01416</v>
      </c>
      <c r="C56">
        <v>146.981964</v>
      </c>
      <c r="D56">
        <v>205.71000699999999</v>
      </c>
      <c r="E56" s="33">
        <v>3970.15</v>
      </c>
      <c r="F56" s="16">
        <f t="shared" si="2"/>
        <v>3.7430595622453877E-2</v>
      </c>
      <c r="G56" s="16">
        <f t="shared" si="3"/>
        <v>0.12035668539576716</v>
      </c>
      <c r="H56" s="16">
        <f t="shared" si="4"/>
        <v>8.5071213866616535E-3</v>
      </c>
      <c r="I56" s="43">
        <f t="shared" si="5"/>
        <v>3.5051572358727023E-2</v>
      </c>
      <c r="J56" s="43">
        <v>3.7430595622453877E-2</v>
      </c>
    </row>
    <row r="57" spans="1:10" ht="15" thickBot="1" x14ac:dyDescent="0.35">
      <c r="A57" s="31">
        <v>44986</v>
      </c>
      <c r="B57">
        <v>146.292404</v>
      </c>
      <c r="C57">
        <v>164.67222599999999</v>
      </c>
      <c r="D57">
        <v>207.46000699999999</v>
      </c>
      <c r="E57" s="33">
        <v>4109.3100000000004</v>
      </c>
      <c r="F57" s="16">
        <f t="shared" si="2"/>
        <v>2.8068976158188041E-2</v>
      </c>
      <c r="G57" s="16">
        <f t="shared" si="3"/>
        <v>2.8987231884507247E-2</v>
      </c>
      <c r="H57" s="16">
        <f t="shared" si="4"/>
        <v>-0.20799193841731622</v>
      </c>
      <c r="I57" s="43">
        <f t="shared" si="5"/>
        <v>1.464236088297044E-2</v>
      </c>
      <c r="J57" s="43">
        <v>2.8068976158188041E-2</v>
      </c>
    </row>
    <row r="58" spans="1:10" ht="15" thickBot="1" x14ac:dyDescent="0.35">
      <c r="A58" s="31">
        <v>45017</v>
      </c>
      <c r="B58">
        <v>150.39868200000001</v>
      </c>
      <c r="C58">
        <v>169.445618</v>
      </c>
      <c r="D58">
        <v>164.30999800000001</v>
      </c>
      <c r="E58" s="33">
        <v>4169.4799999999996</v>
      </c>
      <c r="F58" s="16">
        <f t="shared" si="2"/>
        <v>-2.7157737991347686E-2</v>
      </c>
      <c r="G58" s="16">
        <f t="shared" si="3"/>
        <v>4.4613458224691316E-2</v>
      </c>
      <c r="H58" s="16">
        <f t="shared" si="4"/>
        <v>0.24112954465497571</v>
      </c>
      <c r="I58" s="43">
        <f t="shared" si="5"/>
        <v>2.4823239348792381E-3</v>
      </c>
      <c r="J58" s="43">
        <v>-2.7157737991347686E-2</v>
      </c>
    </row>
    <row r="59" spans="1:10" ht="15" thickBot="1" x14ac:dyDescent="0.35">
      <c r="A59" s="31">
        <v>45047</v>
      </c>
      <c r="B59">
        <v>146.31419399999999</v>
      </c>
      <c r="C59">
        <v>177.00517300000001</v>
      </c>
      <c r="D59">
        <v>203.929993</v>
      </c>
      <c r="E59" s="33">
        <v>4179.83</v>
      </c>
      <c r="F59" s="16">
        <f t="shared" si="2"/>
        <v>7.4263464828299597E-2</v>
      </c>
      <c r="G59" s="16">
        <f t="shared" si="3"/>
        <v>9.5843684749258529E-2</v>
      </c>
      <c r="H59" s="16">
        <f t="shared" si="4"/>
        <v>0.28362672478491202</v>
      </c>
      <c r="I59" s="43">
        <f t="shared" si="5"/>
        <v>6.4727512841431301E-2</v>
      </c>
      <c r="J59" s="43">
        <v>7.4263464828299597E-2</v>
      </c>
    </row>
    <row r="60" spans="1:10" ht="15" thickBot="1" x14ac:dyDescent="0.35">
      <c r="A60" s="31">
        <v>45078</v>
      </c>
      <c r="B60">
        <v>157.179993</v>
      </c>
      <c r="C60">
        <v>193.970001</v>
      </c>
      <c r="D60">
        <v>261.76998900000001</v>
      </c>
      <c r="E60" s="33">
        <v>4450.38</v>
      </c>
      <c r="F60" s="16">
        <f t="shared" si="2"/>
        <v>-1.6287047423395706E-2</v>
      </c>
      <c r="G60" s="16">
        <f t="shared" si="3"/>
        <v>5.8256688878401963E-3</v>
      </c>
      <c r="H60" s="16">
        <f t="shared" si="4"/>
        <v>0.11265623348442744</v>
      </c>
      <c r="I60" s="43">
        <f t="shared" si="5"/>
        <v>2.5916887996081162E-2</v>
      </c>
      <c r="J60" s="43">
        <v>-1.6287047423395706E-2</v>
      </c>
    </row>
    <row r="61" spans="1:10" x14ac:dyDescent="0.3">
      <c r="A61" s="31">
        <v>45108</v>
      </c>
      <c r="B61">
        <v>154.61999499999999</v>
      </c>
      <c r="C61">
        <v>195.10000600000001</v>
      </c>
      <c r="D61">
        <v>291.26001000000002</v>
      </c>
      <c r="E61" s="33">
        <v>4565.72</v>
      </c>
      <c r="F61" s="16"/>
      <c r="G61" s="16"/>
      <c r="H61" s="16"/>
      <c r="I61" s="16"/>
      <c r="J61" s="16"/>
    </row>
  </sheetData>
  <mergeCells count="3">
    <mergeCell ref="L10:M10"/>
    <mergeCell ref="K30:P30"/>
    <mergeCell ref="L18:M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risk return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</dc:creator>
  <cp:lastModifiedBy>maggie</cp:lastModifiedBy>
  <dcterms:created xsi:type="dcterms:W3CDTF">2017-04-20T20:05:01Z</dcterms:created>
  <dcterms:modified xsi:type="dcterms:W3CDTF">2023-07-21T06:12:44Z</dcterms:modified>
</cp:coreProperties>
</file>