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1760"/>
  </bookViews>
  <sheets>
    <sheet name="risk return template" sheetId="1" r:id="rId1"/>
  </sheets>
  <definedNames>
    <definedName name="solver_adj" localSheetId="0" hidden="1">'risk return template'!$R$21:$T$21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'risk return template'!$U$21</definedName>
    <definedName name="solver_lhs2" localSheetId="0" hidden="1">'risk return template'!$W$21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'risk return template'!$V$21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100%</definedName>
    <definedName name="solver_rhs2" localSheetId="0" hidden="1">-0.5%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"/>
  <c r="U21"/>
  <c r="O33" l="1"/>
  <c r="N33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46"/>
  <c r="G46"/>
  <c r="H46"/>
  <c r="I46"/>
  <c r="F47"/>
  <c r="G47"/>
  <c r="H47"/>
  <c r="I47"/>
  <c r="F48"/>
  <c r="G48"/>
  <c r="H48"/>
  <c r="I48"/>
  <c r="F49"/>
  <c r="G49"/>
  <c r="H49"/>
  <c r="I49"/>
  <c r="F50"/>
  <c r="G50"/>
  <c r="H50"/>
  <c r="I50"/>
  <c r="F51"/>
  <c r="G51"/>
  <c r="H51"/>
  <c r="I51"/>
  <c r="F52"/>
  <c r="G52"/>
  <c r="H52"/>
  <c r="I52"/>
  <c r="F53"/>
  <c r="G53"/>
  <c r="H53"/>
  <c r="I53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G2"/>
  <c r="H2"/>
  <c r="I2"/>
  <c r="G3"/>
  <c r="H3"/>
  <c r="I3"/>
  <c r="G4"/>
  <c r="H4"/>
  <c r="I4"/>
  <c r="G5"/>
  <c r="H5"/>
  <c r="I5"/>
  <c r="G6"/>
  <c r="H6"/>
  <c r="I6"/>
  <c r="F3"/>
  <c r="F4"/>
  <c r="F5"/>
  <c r="F6"/>
  <c r="F2"/>
  <c r="K8" l="1"/>
  <c r="M26"/>
  <c r="N26"/>
  <c r="L26"/>
  <c r="L32" s="1"/>
  <c r="K26"/>
  <c r="L3"/>
  <c r="M2"/>
  <c r="K2"/>
  <c r="L2"/>
  <c r="M3"/>
  <c r="K7"/>
  <c r="L8"/>
  <c r="K3"/>
  <c r="W21" l="1"/>
  <c r="K22"/>
  <c r="M33"/>
  <c r="M32"/>
  <c r="O26"/>
  <c r="L22"/>
  <c r="K32"/>
  <c r="K33"/>
  <c r="K20"/>
  <c r="K12"/>
  <c r="L20"/>
  <c r="L33"/>
  <c r="K14"/>
  <c r="K15"/>
  <c r="K13"/>
  <c r="L14"/>
  <c r="L12"/>
  <c r="L15"/>
  <c r="L13"/>
  <c r="P33" l="1"/>
  <c r="P32"/>
</calcChain>
</file>

<file path=xl/sharedStrings.xml><?xml version="1.0" encoding="utf-8"?>
<sst xmlns="http://schemas.openxmlformats.org/spreadsheetml/2006/main" count="66" uniqueCount="47">
  <si>
    <t>Date</t>
  </si>
  <si>
    <t>Mean</t>
  </si>
  <si>
    <t>standard deviation</t>
  </si>
  <si>
    <t xml:space="preserve"> </t>
  </si>
  <si>
    <t>Correlation matrix</t>
  </si>
  <si>
    <t>sp500_ret</t>
  </si>
  <si>
    <t xml:space="preserve">Beta </t>
  </si>
  <si>
    <t>return</t>
  </si>
  <si>
    <t>risk-free</t>
  </si>
  <si>
    <t>market</t>
  </si>
  <si>
    <t>Portfolio return</t>
  </si>
  <si>
    <t>portfolio standard deviation</t>
  </si>
  <si>
    <t>Assume</t>
  </si>
  <si>
    <t>risk free rate</t>
  </si>
  <si>
    <t>marekt return</t>
  </si>
  <si>
    <t>CAPM return calculation based on Beta</t>
  </si>
  <si>
    <t>1/3 in each</t>
  </si>
  <si>
    <t>STOCK1</t>
  </si>
  <si>
    <t>STOCK2</t>
  </si>
  <si>
    <t>STOCK3</t>
  </si>
  <si>
    <t>STOCK 1</t>
  </si>
  <si>
    <t>STOCK 2</t>
  </si>
  <si>
    <t>STOCK 3</t>
  </si>
  <si>
    <t>10% stocK 1</t>
  </si>
  <si>
    <t>50% stock 1</t>
  </si>
  <si>
    <t>90% stock 1</t>
  </si>
  <si>
    <t>100% stock 1</t>
  </si>
  <si>
    <t>Portfolio STOCK 1 + STOCK 2</t>
  </si>
  <si>
    <t>Portfolio STOCK 1 + STOCK 2 + STOCK 3</t>
  </si>
  <si>
    <t>weight of each STOCK  - YOUR CHOICE</t>
  </si>
  <si>
    <t>PORTFOLIO RET, STD RESULTS</t>
  </si>
  <si>
    <t>S&amp;P500</t>
  </si>
  <si>
    <t>Portfolio</t>
  </si>
  <si>
    <t>portfolio</t>
  </si>
  <si>
    <t>tesla</t>
  </si>
  <si>
    <t>ge</t>
  </si>
  <si>
    <t>msft</t>
  </si>
  <si>
    <t>SP500</t>
  </si>
  <si>
    <t>tesla_ret</t>
  </si>
  <si>
    <t>ge_ret</t>
  </si>
  <si>
    <t>msft_ret</t>
  </si>
  <si>
    <t>Total weight</t>
  </si>
  <si>
    <t>Solver Solutions of Efficient Frontier</t>
  </si>
  <si>
    <t>Weight of the stocks</t>
  </si>
  <si>
    <t>stock 1</t>
  </si>
  <si>
    <t>stock 2</t>
  </si>
  <si>
    <t>stock 3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</si>
</sst>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83" formatCode="0.00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5" tint="0.7999816888943144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16" fillId="33" borderId="0" xfId="0" applyFont="1" applyFill="1"/>
    <xf numFmtId="0" fontId="16" fillId="34" borderId="0" xfId="0" applyFont="1" applyFill="1" applyAlignment="1">
      <alignment horizontal="center"/>
    </xf>
    <xf numFmtId="0" fontId="16" fillId="34" borderId="0" xfId="0" applyFont="1" applyFill="1"/>
    <xf numFmtId="0" fontId="16" fillId="35" borderId="0" xfId="0" applyFont="1" applyFill="1" applyAlignment="1">
      <alignment horizontal="center"/>
    </xf>
    <xf numFmtId="10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/>
    <xf numFmtId="0" fontId="0" fillId="35" borderId="0" xfId="0" applyFill="1" applyAlignment="1">
      <alignment horizontal="center"/>
    </xf>
    <xf numFmtId="0" fontId="0" fillId="35" borderId="0" xfId="0" applyFill="1"/>
    <xf numFmtId="10" fontId="0" fillId="36" borderId="0" xfId="0" applyNumberFormat="1" applyFill="1" applyAlignment="1">
      <alignment horizontal="center"/>
    </xf>
    <xf numFmtId="10" fontId="0" fillId="34" borderId="0" xfId="0" applyNumberFormat="1" applyFill="1" applyAlignment="1">
      <alignment horizontal="center"/>
    </xf>
    <xf numFmtId="10" fontId="0" fillId="36" borderId="0" xfId="1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0" fontId="16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38" borderId="0" xfId="0" applyFill="1"/>
    <xf numFmtId="0" fontId="16" fillId="38" borderId="0" xfId="0" applyFont="1" applyFill="1" applyAlignment="1">
      <alignment horizontal="center"/>
    </xf>
    <xf numFmtId="2" fontId="0" fillId="36" borderId="0" xfId="1" applyNumberFormat="1" applyFont="1" applyFill="1" applyAlignment="1">
      <alignment horizontal="center"/>
    </xf>
    <xf numFmtId="2" fontId="0" fillId="37" borderId="0" xfId="43" applyNumberFormat="1" applyFont="1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6" fillId="38" borderId="0" xfId="0" applyFont="1" applyFill="1" applyAlignment="1">
      <alignment horizontal="center"/>
    </xf>
    <xf numFmtId="10" fontId="0" fillId="35" borderId="0" xfId="1" applyNumberFormat="1" applyFont="1" applyFill="1" applyAlignment="1">
      <alignment horizontal="center"/>
    </xf>
    <xf numFmtId="10" fontId="0" fillId="35" borderId="0" xfId="0" applyNumberFormat="1" applyFill="1" applyAlignment="1">
      <alignment horizontal="center"/>
    </xf>
    <xf numFmtId="0" fontId="16" fillId="36" borderId="0" xfId="0" applyFont="1" applyFill="1" applyAlignment="1">
      <alignment horizontal="center" wrapText="1"/>
    </xf>
    <xf numFmtId="0" fontId="16" fillId="36" borderId="0" xfId="0" applyFont="1" applyFill="1" applyAlignment="1">
      <alignment horizontal="center" vertical="top" wrapText="1"/>
    </xf>
    <xf numFmtId="164" fontId="0" fillId="37" borderId="0" xfId="43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0" fillId="36" borderId="0" xfId="0" applyFill="1" applyAlignment="1">
      <alignment horizontal="center"/>
    </xf>
    <xf numFmtId="10" fontId="0" fillId="39" borderId="0" xfId="1" applyNumberFormat="1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/>
    <xf numFmtId="0" fontId="16" fillId="40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8" borderId="12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16" fillId="38" borderId="18" xfId="0" applyFont="1" applyFill="1" applyBorder="1" applyAlignment="1">
      <alignment horizontal="center"/>
    </xf>
    <xf numFmtId="0" fontId="16" fillId="38" borderId="19" xfId="0" applyFont="1" applyFill="1" applyBorder="1" applyAlignment="1">
      <alignment horizontal="center"/>
    </xf>
    <xf numFmtId="0" fontId="16" fillId="38" borderId="20" xfId="0" applyFont="1" applyFill="1" applyBorder="1" applyAlignment="1">
      <alignment horizontal="center"/>
    </xf>
    <xf numFmtId="0" fontId="16" fillId="38" borderId="17" xfId="0" applyFont="1" applyFill="1" applyBorder="1" applyAlignment="1">
      <alignment horizontal="center"/>
    </xf>
    <xf numFmtId="0" fontId="16" fillId="38" borderId="18" xfId="0" applyFont="1" applyFill="1" applyBorder="1" applyAlignment="1">
      <alignment horizontal="center"/>
    </xf>
    <xf numFmtId="0" fontId="16" fillId="38" borderId="19" xfId="0" applyFont="1" applyFill="1" applyBorder="1" applyAlignment="1">
      <alignment horizontal="center"/>
    </xf>
    <xf numFmtId="0" fontId="16" fillId="38" borderId="20" xfId="0" applyFont="1" applyFill="1" applyBorder="1" applyAlignment="1">
      <alignment horizontal="center"/>
    </xf>
    <xf numFmtId="0" fontId="0" fillId="38" borderId="10" xfId="0" applyFill="1" applyBorder="1"/>
    <xf numFmtId="0" fontId="0" fillId="38" borderId="11" xfId="0" applyFill="1" applyBorder="1"/>
    <xf numFmtId="0" fontId="0" fillId="38" borderId="12" xfId="0" applyFill="1" applyBorder="1"/>
    <xf numFmtId="0" fontId="16" fillId="38" borderId="15" xfId="0" applyFont="1" applyFill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7" fillId="0" borderId="13" xfId="0" applyFont="1" applyBorder="1"/>
    <xf numFmtId="0" fontId="17" fillId="0" borderId="0" xfId="0" applyFont="1" applyBorder="1"/>
    <xf numFmtId="0" fontId="17" fillId="0" borderId="14" xfId="0" applyFont="1" applyBorder="1"/>
    <xf numFmtId="9" fontId="20" fillId="38" borderId="10" xfId="0" applyNumberFormat="1" applyFont="1" applyFill="1" applyBorder="1" applyAlignment="1">
      <alignment horizontal="center"/>
    </xf>
    <xf numFmtId="9" fontId="20" fillId="38" borderId="11" xfId="0" applyNumberFormat="1" applyFont="1" applyFill="1" applyBorder="1" applyAlignment="1">
      <alignment horizontal="center"/>
    </xf>
    <xf numFmtId="9" fontId="20" fillId="38" borderId="12" xfId="0" applyNumberFormat="1" applyFont="1" applyFill="1" applyBorder="1" applyAlignment="1">
      <alignment horizontal="center"/>
    </xf>
    <xf numFmtId="10" fontId="20" fillId="38" borderId="10" xfId="0" applyNumberFormat="1" applyFont="1" applyFill="1" applyBorder="1" applyAlignment="1">
      <alignment horizontal="center"/>
    </xf>
    <xf numFmtId="10" fontId="20" fillId="38" borderId="11" xfId="1" applyNumberFormat="1" applyFont="1" applyFill="1" applyBorder="1" applyAlignment="1">
      <alignment horizontal="center"/>
    </xf>
    <xf numFmtId="183" fontId="20" fillId="38" borderId="12" xfId="0" applyNumberFormat="1" applyFont="1" applyFill="1" applyBorder="1" applyAlignment="1">
      <alignment horizontal="center"/>
    </xf>
    <xf numFmtId="0" fontId="20" fillId="38" borderId="13" xfId="0" applyFont="1" applyFill="1" applyBorder="1"/>
    <xf numFmtId="0" fontId="20" fillId="38" borderId="0" xfId="0" applyFont="1" applyFill="1" applyBorder="1"/>
    <xf numFmtId="0" fontId="20" fillId="38" borderId="14" xfId="0" applyFont="1" applyFill="1" applyBorder="1"/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/>
    <cellStyle name="60% - Accent2" xfId="26" builtinId="36" customBuiltin="1"/>
    <cellStyle name="60% - Accent2 2" xfId="47"/>
    <cellStyle name="60% - Accent3" xfId="30" builtinId="40" customBuiltin="1"/>
    <cellStyle name="60% - Accent3 2" xfId="48"/>
    <cellStyle name="60% - Accent4" xfId="34" builtinId="44" customBuiltin="1"/>
    <cellStyle name="60% - Accent4 2" xfId="49"/>
    <cellStyle name="60% - Accent5" xfId="38" builtinId="48" customBuiltin="1"/>
    <cellStyle name="60% - Accent5 2" xfId="50"/>
    <cellStyle name="60% - Accent6" xfId="42" builtinId="52" customBuiltin="1"/>
    <cellStyle name="60% - Accent6 2" xfId="5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itle 2" xfId="44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v>SML - Security Market Line</c:v>
          </c:tx>
          <c:xVal>
            <c:numRef>
              <c:f>'risk return template'!$K$32:$O$32</c:f>
              <c:numCache>
                <c:formatCode>0.00</c:formatCode>
                <c:ptCount val="5"/>
                <c:pt idx="0">
                  <c:v>1.011438030917279</c:v>
                </c:pt>
                <c:pt idx="1">
                  <c:v>0.9952012397190928</c:v>
                </c:pt>
                <c:pt idx="2">
                  <c:v>1.0277468587627574</c:v>
                </c:pt>
                <c:pt idx="3">
                  <c:v>0</c:v>
                </c:pt>
                <c:pt idx="4">
                  <c:v>1</c:v>
                </c:pt>
              </c:numCache>
            </c:numRef>
          </c:xVal>
          <c:yVal>
            <c:numRef>
              <c:f>'risk return template'!$K$33:$O$33</c:f>
              <c:numCache>
                <c:formatCode>0.00%</c:formatCode>
                <c:ptCount val="5"/>
                <c:pt idx="0">
                  <c:v>8.0686281855036734E-2</c:v>
                </c:pt>
                <c:pt idx="1">
                  <c:v>7.9712074383145565E-2</c:v>
                </c:pt>
                <c:pt idx="2">
                  <c:v>8.1664811525765449E-2</c:v>
                </c:pt>
                <c:pt idx="3">
                  <c:v>0.02</c:v>
                </c:pt>
                <c:pt idx="4">
                  <c:v>0.08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5E9-4D9A-9E0F-31AFAC0211B6}"/>
            </c:ext>
          </c:extLst>
        </c:ser>
        <c:dLbls/>
        <c:axId val="114647808"/>
        <c:axId val="114649728"/>
      </c:scatterChart>
      <c:valAx>
        <c:axId val="114647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Stock's</a:t>
                </a:r>
                <a:r>
                  <a:rPr lang="en-US" baseline="0"/>
                  <a:t> Beta</a:t>
                </a:r>
                <a:endParaRPr lang="en-US"/>
              </a:p>
            </c:rich>
          </c:tx>
          <c:layout/>
        </c:title>
        <c:numFmt formatCode="0.00" sourceLinked="1"/>
        <c:majorTickMark val="none"/>
        <c:tickLblPos val="nextTo"/>
        <c:crossAx val="114649728"/>
        <c:crosses val="autoZero"/>
        <c:crossBetween val="midCat"/>
      </c:valAx>
      <c:valAx>
        <c:axId val="114649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Stock's</a:t>
                </a:r>
                <a:r>
                  <a:rPr lang="en-US" baseline="0"/>
                  <a:t> Return</a:t>
                </a:r>
                <a:endParaRPr lang="en-US"/>
              </a:p>
            </c:rich>
          </c:tx>
          <c:layout/>
        </c:title>
        <c:numFmt formatCode="0.00%" sourceLinked="1"/>
        <c:majorTickMark val="none"/>
        <c:tickLblPos val="nextTo"/>
        <c:crossAx val="11464780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34</xdr:row>
      <xdr:rowOff>142875</xdr:rowOff>
    </xdr:from>
    <xdr:to>
      <xdr:col>13</xdr:col>
      <xdr:colOff>123825</xdr:colOff>
      <xdr:row>49</xdr:row>
      <xdr:rowOff>28575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topLeftCell="M17" zoomScale="140" zoomScaleNormal="140" workbookViewId="0">
      <selection activeCell="S28" sqref="S28"/>
    </sheetView>
  </sheetViews>
  <sheetFormatPr defaultRowHeight="15"/>
  <cols>
    <col min="1" max="5" width="9.140625" style="36"/>
    <col min="6" max="9" width="15.28515625" style="40" customWidth="1"/>
    <col min="10" max="10" width="24.7109375" customWidth="1"/>
    <col min="11" max="11" width="22" style="1" customWidth="1"/>
    <col min="12" max="12" width="27.140625" style="1" customWidth="1"/>
    <col min="13" max="13" width="15.42578125" style="1" customWidth="1"/>
    <col min="14" max="14" width="15.5703125" customWidth="1"/>
    <col min="15" max="15" width="11.140625" customWidth="1"/>
    <col min="17" max="17" width="9.7109375" customWidth="1"/>
    <col min="23" max="23" width="10.5703125" customWidth="1"/>
  </cols>
  <sheetData>
    <row r="1" spans="1:16">
      <c r="A1" s="41" t="s">
        <v>0</v>
      </c>
      <c r="B1" s="41" t="s">
        <v>34</v>
      </c>
      <c r="C1" s="41" t="s">
        <v>35</v>
      </c>
      <c r="D1" s="41" t="s">
        <v>36</v>
      </c>
      <c r="E1" s="41" t="s">
        <v>37</v>
      </c>
      <c r="F1" s="42" t="s">
        <v>38</v>
      </c>
      <c r="G1" s="42" t="s">
        <v>39</v>
      </c>
      <c r="H1" s="42" t="s">
        <v>40</v>
      </c>
      <c r="I1" s="42" t="s">
        <v>5</v>
      </c>
      <c r="J1" s="3"/>
      <c r="K1" s="2" t="s">
        <v>17</v>
      </c>
      <c r="L1" s="2" t="s">
        <v>18</v>
      </c>
      <c r="M1" s="2" t="s">
        <v>19</v>
      </c>
    </row>
    <row r="2" spans="1:16">
      <c r="A2" s="37">
        <v>42064</v>
      </c>
      <c r="B2" s="36">
        <v>188.770004</v>
      </c>
      <c r="C2" s="36">
        <v>20.715544000000001</v>
      </c>
      <c r="D2" s="36">
        <v>36.662495</v>
      </c>
      <c r="E2" s="36">
        <v>2067.889893</v>
      </c>
      <c r="F2" s="39">
        <f>IFERROR(IF(OR(B3/B2-1),B3/B2-1,""),"")</f>
        <v>0.19748899830504851</v>
      </c>
      <c r="G2" s="39">
        <f t="shared" ref="G2:I6" si="0">IFERROR(IF(OR(C3/C2-1),C3/C2-1,""),"")</f>
        <v>9.1495159383697455E-2</v>
      </c>
      <c r="H2" s="39">
        <f t="shared" si="0"/>
        <v>0.19626176559996789</v>
      </c>
      <c r="I2" s="39">
        <f t="shared" si="0"/>
        <v>8.5208197301247512E-3</v>
      </c>
      <c r="J2" s="2" t="s">
        <v>1</v>
      </c>
      <c r="K2" s="9">
        <f>IFERROR(IF(OR(AVERAGE(F2:F61)&lt;&gt;0,F2),AVERAGE(F2:F61),""),"")</f>
        <v>1.9850945352466041E-2</v>
      </c>
      <c r="L2" s="9">
        <f t="shared" ref="L2:M2" si="1">IFERROR(IF(OR(AVERAGE(G2:G61)&lt;&gt;0,G2),AVERAGE(G2:G61),""),"")</f>
        <v>-2.1080094697934326E-2</v>
      </c>
      <c r="M2" s="9">
        <f t="shared" si="1"/>
        <v>1.2428516041542681E-2</v>
      </c>
    </row>
    <row r="3" spans="1:16">
      <c r="A3" s="37">
        <v>42095</v>
      </c>
      <c r="B3" s="36">
        <v>226.050003</v>
      </c>
      <c r="C3" s="36">
        <v>22.610916</v>
      </c>
      <c r="D3" s="36">
        <v>43.857940999999997</v>
      </c>
      <c r="E3" s="36">
        <v>2085.51001</v>
      </c>
      <c r="F3" s="39">
        <f t="shared" ref="F3:F7" si="2">IFERROR(IF(OR(B4/B3-1),B4/B3-1,""),"")</f>
        <v>0.10948904964181749</v>
      </c>
      <c r="G3" s="39">
        <f t="shared" si="0"/>
        <v>7.0159917448722187E-3</v>
      </c>
      <c r="H3" s="39">
        <f t="shared" si="0"/>
        <v>-3.6595425216154109E-2</v>
      </c>
      <c r="I3" s="39">
        <f t="shared" si="0"/>
        <v>1.0491382393316817E-2</v>
      </c>
      <c r="J3" s="5" t="s">
        <v>2</v>
      </c>
      <c r="K3" s="9">
        <f>IFERROR(IF(OR(STDEV(F2:F61)&lt;&gt;0,F3),STDEV(F2:F61),""),"")</f>
        <v>0.19936902306613999</v>
      </c>
      <c r="L3" s="9">
        <f t="shared" ref="L3:M3" si="3">IFERROR(IF(OR(STDEV(G2:G61)&lt;&gt;0,G3),STDEV(G2:G61),""),"")</f>
        <v>0.15603755649781612</v>
      </c>
      <c r="M3" s="9">
        <f t="shared" si="3"/>
        <v>0.14492876414310174</v>
      </c>
    </row>
    <row r="4" spans="1:16">
      <c r="A4" s="37">
        <v>42125</v>
      </c>
      <c r="B4" s="36">
        <v>250.800003</v>
      </c>
      <c r="C4" s="36">
        <v>22.769553999999999</v>
      </c>
      <c r="D4" s="36">
        <v>42.252941</v>
      </c>
      <c r="E4" s="36">
        <v>2107.389893</v>
      </c>
      <c r="F4" s="39">
        <f t="shared" si="2"/>
        <v>6.9617251958326465E-2</v>
      </c>
      <c r="G4" s="39">
        <f t="shared" si="0"/>
        <v>-2.5669057900738812E-2</v>
      </c>
      <c r="H4" s="39">
        <f t="shared" si="0"/>
        <v>-5.1708613608695275E-2</v>
      </c>
      <c r="I4" s="39">
        <f t="shared" si="0"/>
        <v>-2.1011672375900514E-2</v>
      </c>
    </row>
    <row r="5" spans="1:16">
      <c r="A5" s="37">
        <v>42156</v>
      </c>
      <c r="B5" s="36">
        <v>268.26001000000002</v>
      </c>
      <c r="C5" s="36">
        <v>22.185081</v>
      </c>
      <c r="D5" s="36">
        <v>40.068100000000001</v>
      </c>
      <c r="E5" s="36">
        <v>2063.110107</v>
      </c>
      <c r="F5" s="39">
        <f t="shared" si="2"/>
        <v>-7.8655629663177962E-3</v>
      </c>
      <c r="G5" s="39">
        <f t="shared" si="0"/>
        <v>-8.9964963391387931E-3</v>
      </c>
      <c r="H5" s="39">
        <f t="shared" si="0"/>
        <v>5.7757642613450511E-2</v>
      </c>
      <c r="I5" s="39">
        <f t="shared" si="0"/>
        <v>1.9742029696721453E-2</v>
      </c>
      <c r="J5" s="7" t="s">
        <v>4</v>
      </c>
      <c r="K5" s="6" t="s">
        <v>17</v>
      </c>
      <c r="L5" s="6" t="s">
        <v>18</v>
      </c>
      <c r="M5" s="6" t="s">
        <v>19</v>
      </c>
    </row>
    <row r="6" spans="1:16">
      <c r="A6" s="37">
        <v>42186</v>
      </c>
      <c r="B6" s="36">
        <v>266.14999399999999</v>
      </c>
      <c r="C6" s="36">
        <v>21.985493000000002</v>
      </c>
      <c r="D6" s="36">
        <v>42.382339000000002</v>
      </c>
      <c r="E6" s="36">
        <v>2103.8400879999999</v>
      </c>
      <c r="F6" s="39">
        <f t="shared" si="2"/>
        <v>-6.4211896995195805E-2</v>
      </c>
      <c r="G6" s="39">
        <f t="shared" si="0"/>
        <v>-3.4328090800602729E-3</v>
      </c>
      <c r="H6" s="39">
        <f t="shared" si="0"/>
        <v>-6.809442489712525E-2</v>
      </c>
      <c r="I6" s="39">
        <f t="shared" si="0"/>
        <v>-6.2580818167202845E-2</v>
      </c>
      <c r="J6" s="6" t="s">
        <v>20</v>
      </c>
      <c r="K6" s="10">
        <v>1</v>
      </c>
      <c r="L6" s="10"/>
      <c r="M6" s="10"/>
    </row>
    <row r="7" spans="1:16">
      <c r="A7" s="37">
        <v>42217</v>
      </c>
      <c r="B7" s="36">
        <v>249.05999800000001</v>
      </c>
      <c r="C7" s="36">
        <v>21.910021</v>
      </c>
      <c r="D7" s="36">
        <v>39.496338000000002</v>
      </c>
      <c r="E7" s="36">
        <v>1972.1800539999999</v>
      </c>
      <c r="F7" s="39">
        <f t="shared" si="2"/>
        <v>-2.6499799457960771E-3</v>
      </c>
      <c r="G7" s="39">
        <f t="shared" ref="G7:G61" si="4">IFERROR(IF(OR(C8/C7-1),C8/C7-1,""),"")</f>
        <v>-3.0388012864068004E-2</v>
      </c>
      <c r="H7" s="39">
        <f t="shared" ref="H7:H61" si="5">IFERROR(IF(OR(D8/D7-1),D8/D7-1,""),"")</f>
        <v>2.3710299420670378E-2</v>
      </c>
      <c r="I7" s="39">
        <f t="shared" ref="I7:I61" si="6">IFERROR(IF(OR(E8/E7-1),E8/E7-1,""),"")</f>
        <v>-2.6442831573227132E-2</v>
      </c>
      <c r="J7" s="6" t="s">
        <v>21</v>
      </c>
      <c r="K7" s="17">
        <f>IFERROR(IF(OR(CORREL(F2:F61, G2:G61)&lt;&gt;0,F2),CORREL(F2:F61, G2:G61),""),"")</f>
        <v>0.63824658648675769</v>
      </c>
      <c r="L7" s="10">
        <v>1</v>
      </c>
      <c r="M7" s="10"/>
    </row>
    <row r="8" spans="1:16">
      <c r="A8" s="37">
        <v>42248</v>
      </c>
      <c r="B8" s="36">
        <v>248.39999399999999</v>
      </c>
      <c r="C8" s="36">
        <v>21.244219000000001</v>
      </c>
      <c r="D8" s="36">
        <v>40.432808000000001</v>
      </c>
      <c r="E8" s="36">
        <v>1920.030029</v>
      </c>
      <c r="F8" s="39">
        <f t="shared" ref="F8:F61" si="7">IFERROR(IF(OR(B9/B8-1),B9/B8-1,""),"")</f>
        <v>-0.16694847826767656</v>
      </c>
      <c r="G8" s="39">
        <f t="shared" si="4"/>
        <v>0.15738568690145782</v>
      </c>
      <c r="H8" s="39">
        <f t="shared" si="5"/>
        <v>0.1893355761984179</v>
      </c>
      <c r="I8" s="39">
        <f t="shared" si="6"/>
        <v>8.2983117760394132E-2</v>
      </c>
      <c r="J8" s="6" t="s">
        <v>22</v>
      </c>
      <c r="K8" s="17">
        <f>IFERROR(IF(OR(CORREL(F2:F61, H2:H61)&lt;&gt;0,F3),CORREL(F2:F61, H2:H61),""),"")</f>
        <v>0.67181552408228107</v>
      </c>
      <c r="L8" s="17">
        <f>IFERROR(IF(OR(CORREL(G2:G61, I2:I61)&lt;&gt;0,G2),CORREL(G2:G61, H2:H61),""),"")</f>
        <v>0.81242651012362144</v>
      </c>
      <c r="M8" s="10">
        <v>1</v>
      </c>
    </row>
    <row r="9" spans="1:16">
      <c r="A9" s="37">
        <v>42278</v>
      </c>
      <c r="B9" s="36">
        <v>206.929993</v>
      </c>
      <c r="C9" s="36">
        <v>24.587755000000001</v>
      </c>
      <c r="D9" s="36">
        <v>48.088177000000002</v>
      </c>
      <c r="E9" s="36">
        <v>2079.360107</v>
      </c>
      <c r="F9" s="39">
        <f t="shared" si="7"/>
        <v>0.11274345328953839</v>
      </c>
      <c r="G9" s="39">
        <f t="shared" si="4"/>
        <v>3.526971047173677E-2</v>
      </c>
      <c r="H9" s="39">
        <f t="shared" si="5"/>
        <v>3.2484845495390768E-2</v>
      </c>
      <c r="I9" s="39">
        <f t="shared" si="6"/>
        <v>5.0486926072412786E-4</v>
      </c>
      <c r="J9" s="8"/>
      <c r="K9" s="14"/>
      <c r="L9" s="14"/>
      <c r="M9" s="14"/>
      <c r="N9" s="15"/>
      <c r="O9" s="15"/>
    </row>
    <row r="10" spans="1:16">
      <c r="A10" s="37">
        <v>42309</v>
      </c>
      <c r="B10" s="36">
        <v>230.259995</v>
      </c>
      <c r="C10" s="36">
        <v>25.454958000000001</v>
      </c>
      <c r="D10" s="36">
        <v>49.650314000000002</v>
      </c>
      <c r="E10" s="36">
        <v>2080.4099120000001</v>
      </c>
      <c r="F10" s="39">
        <f t="shared" si="7"/>
        <v>4.2343438772332043E-2</v>
      </c>
      <c r="G10" s="39">
        <f t="shared" si="4"/>
        <v>4.0414052146540369E-2</v>
      </c>
      <c r="H10" s="39">
        <f t="shared" si="5"/>
        <v>2.7671788742363201E-2</v>
      </c>
      <c r="I10" s="39">
        <f t="shared" si="6"/>
        <v>-1.7530185176314439E-2</v>
      </c>
      <c r="J10" s="11"/>
      <c r="K10" s="43" t="s">
        <v>27</v>
      </c>
      <c r="L10" s="43"/>
      <c r="M10" s="12"/>
      <c r="N10" s="13"/>
      <c r="O10" s="13"/>
    </row>
    <row r="11" spans="1:16">
      <c r="A11" s="37">
        <v>42339</v>
      </c>
      <c r="B11" s="36">
        <v>240.009995</v>
      </c>
      <c r="C11" s="36">
        <v>26.483695999999998</v>
      </c>
      <c r="D11" s="36">
        <v>51.024227000000003</v>
      </c>
      <c r="E11" s="36">
        <v>2043.9399410000001</v>
      </c>
      <c r="F11" s="39">
        <f t="shared" si="7"/>
        <v>-0.20336652229837349</v>
      </c>
      <c r="G11" s="39">
        <f t="shared" si="4"/>
        <v>-5.8541451314046089E-2</v>
      </c>
      <c r="H11" s="39">
        <f t="shared" si="5"/>
        <v>-7.0296802340582554E-3</v>
      </c>
      <c r="I11" s="39">
        <f t="shared" si="6"/>
        <v>-5.073532197294639E-2</v>
      </c>
      <c r="J11" s="11"/>
      <c r="K11" s="11" t="s">
        <v>10</v>
      </c>
      <c r="L11" s="11" t="s">
        <v>11</v>
      </c>
      <c r="M11" s="12"/>
      <c r="N11" s="13"/>
      <c r="O11" s="13"/>
    </row>
    <row r="12" spans="1:16">
      <c r="A12" s="37">
        <v>42370</v>
      </c>
      <c r="B12" s="36">
        <v>191.199997</v>
      </c>
      <c r="C12" s="36">
        <v>24.933302000000001</v>
      </c>
      <c r="D12" s="36">
        <v>50.665543</v>
      </c>
      <c r="E12" s="36">
        <v>1940.23999</v>
      </c>
      <c r="F12" s="39">
        <f t="shared" si="7"/>
        <v>3.8179707712024946E-3</v>
      </c>
      <c r="G12" s="39">
        <f t="shared" si="4"/>
        <v>1.3745872889197042E-3</v>
      </c>
      <c r="H12" s="39">
        <f t="shared" si="5"/>
        <v>-7.6420300084418358E-2</v>
      </c>
      <c r="I12" s="39">
        <f t="shared" si="6"/>
        <v>-4.1283604302990717E-3</v>
      </c>
      <c r="J12" s="11" t="s">
        <v>23</v>
      </c>
      <c r="K12" s="18">
        <f>IFERROR(IF(OR(10%*K2+ 90%*L2),10%*K2+ 90%*L2,""),"")</f>
        <v>-1.6986990692894291E-2</v>
      </c>
      <c r="L12" s="16">
        <f>IFERROR(IF(OR(SQRT(10%^2*$K$3^2+90%^2*$L$3^2+2*10%*90%*$K$7*$K$3*$L$3)&lt;&gt;0, $K$2),SQRT(10%^2*$K$3^2+90%^2*$L$3^2+2*10%*90%*$K$7*$K$3*$L$3),""),"")</f>
        <v>0.1539255572883157</v>
      </c>
      <c r="M12" s="16"/>
      <c r="N12" s="13"/>
      <c r="O12" s="13"/>
    </row>
    <row r="13" spans="1:16">
      <c r="A13" s="37">
        <v>42401</v>
      </c>
      <c r="B13" s="36">
        <v>191.929993</v>
      </c>
      <c r="C13" s="36">
        <v>24.967575</v>
      </c>
      <c r="D13" s="36">
        <v>46.793666999999999</v>
      </c>
      <c r="E13" s="36">
        <v>1932.2299800000001</v>
      </c>
      <c r="F13" s="39">
        <f t="shared" si="7"/>
        <v>0.19715527734115024</v>
      </c>
      <c r="G13" s="39">
        <f t="shared" si="4"/>
        <v>0.10002629410345221</v>
      </c>
      <c r="H13" s="39">
        <f t="shared" si="5"/>
        <v>9.3288820472223311E-2</v>
      </c>
      <c r="I13" s="39">
        <f t="shared" si="6"/>
        <v>6.5991114577365062E-2</v>
      </c>
      <c r="J13" s="11" t="s">
        <v>24</v>
      </c>
      <c r="K13" s="18">
        <f>IFERROR(IF(OR(50%*$K$2+ 50%*$L$2),50%*$K$2+ 50%*$L$2,""),"")</f>
        <v>-6.1457467273414237E-4</v>
      </c>
      <c r="L13" s="16">
        <f>IFERROR(IF(OR(SQRT(50%^2*$K$3^2+50%^2*$L$3^2+2*50%*50%*$K$7*$K$3*$L$3)&lt;&gt;0, $K$2),SQRT(50%^2*$K$3^2+50%^2*$L$3^2+2*50%*50%*$K$7*$K$3*$L$3),""),"")</f>
        <v>0.16109486566723255</v>
      </c>
      <c r="M13" s="16"/>
      <c r="N13" s="13"/>
      <c r="O13" s="13"/>
    </row>
    <row r="14" spans="1:16">
      <c r="A14" s="37">
        <v>42430</v>
      </c>
      <c r="B14" s="36">
        <v>229.770004</v>
      </c>
      <c r="C14" s="36">
        <v>27.464988999999999</v>
      </c>
      <c r="D14" s="36">
        <v>51.158993000000002</v>
      </c>
      <c r="E14" s="36">
        <v>2059.73999</v>
      </c>
      <c r="F14" s="39">
        <f t="shared" si="7"/>
        <v>4.7830399132516854E-2</v>
      </c>
      <c r="G14" s="39">
        <f t="shared" si="4"/>
        <v>-3.2714886577962954E-2</v>
      </c>
      <c r="H14" s="39">
        <f t="shared" si="5"/>
        <v>-9.7048685066963736E-2</v>
      </c>
      <c r="I14" s="39">
        <f t="shared" si="6"/>
        <v>2.6993984808731941E-3</v>
      </c>
      <c r="J14" s="11" t="s">
        <v>25</v>
      </c>
      <c r="K14" s="18">
        <f>IFERROR(IF(OR(90%*$K$2+ 10%*$L$2),90%*$K$2+ 10%*$L$2,""),"")</f>
        <v>1.5757841347426006E-2</v>
      </c>
      <c r="L14" s="16">
        <f>IFERROR(IF(OR(SQRT(90%^2*$K$3^2+10%^2*$L$3^2+2*90%*10%*$K$7*$K$3*$L$3)&lt;&gt;0, $K$2),SQRT(90%^2*$K$3^2+10%^2*$L$3^2+2*90%*10%*$K$7*$K$3*$L$3),""),"")</f>
        <v>0.18977172561514238</v>
      </c>
      <c r="M14" s="16"/>
      <c r="N14" s="13"/>
      <c r="O14" s="13"/>
    </row>
    <row r="15" spans="1:16">
      <c r="A15" s="37">
        <v>42461</v>
      </c>
      <c r="B15" s="36">
        <v>240.759995</v>
      </c>
      <c r="C15" s="36">
        <v>26.566475000000001</v>
      </c>
      <c r="D15" s="36">
        <v>46.19408</v>
      </c>
      <c r="E15" s="36">
        <v>2065.3000489999999</v>
      </c>
      <c r="F15" s="39">
        <f t="shared" si="7"/>
        <v>-7.2811095547663518E-2</v>
      </c>
      <c r="G15" s="39">
        <f t="shared" si="4"/>
        <v>-1.6910372941837504E-2</v>
      </c>
      <c r="H15" s="39">
        <f t="shared" si="5"/>
        <v>6.2763453671985658E-2</v>
      </c>
      <c r="I15" s="39">
        <f t="shared" si="6"/>
        <v>1.5324602357572603E-2</v>
      </c>
      <c r="J15" s="11" t="s">
        <v>26</v>
      </c>
      <c r="K15" s="18">
        <f>IFERROR(IF(OR(100%*$K$2+ 0%*$L$2),100%*$K$2+ 0%*$L$2,""),"")</f>
        <v>1.9850945352466041E-2</v>
      </c>
      <c r="L15" s="16">
        <f>IFERROR(IF(OR(SQRT(100%^2*$K$3^2+0%^2*$L$3^2+2*100%*0%*$K$7*$K$3*$L$3)&lt;&gt;0, $K$2),SQRT(100%^2*$K$3^2+0%^2*$L$3^2+2*100%*0%*$K$7*$K$3*$L$3),""),"")</f>
        <v>0.19936902306613999</v>
      </c>
      <c r="M15" s="16"/>
      <c r="N15" s="13"/>
      <c r="O15" s="13"/>
    </row>
    <row r="16" spans="1:16">
      <c r="A16" s="37">
        <v>42491</v>
      </c>
      <c r="B16" s="36">
        <v>223.229996</v>
      </c>
      <c r="C16" s="36">
        <v>26.117225999999999</v>
      </c>
      <c r="D16" s="36">
        <v>49.093380000000003</v>
      </c>
      <c r="E16" s="36">
        <v>2096.9499510000001</v>
      </c>
      <c r="F16" s="39">
        <f t="shared" si="7"/>
        <v>-4.9052534140617943E-2</v>
      </c>
      <c r="G16" s="39">
        <f t="shared" si="4"/>
        <v>4.1349452656266106E-2</v>
      </c>
      <c r="H16" s="39">
        <f t="shared" si="5"/>
        <v>-2.7775598257850698E-2</v>
      </c>
      <c r="I16" s="39">
        <f t="shared" si="6"/>
        <v>9.1092112097812539E-4</v>
      </c>
      <c r="J16" s="8"/>
      <c r="K16" s="31"/>
      <c r="L16" s="32"/>
      <c r="M16" s="32"/>
      <c r="N16" s="15"/>
      <c r="O16" s="15"/>
      <c r="P16" s="4"/>
    </row>
    <row r="17" spans="1:23" ht="15.75" thickBot="1">
      <c r="A17" s="37">
        <v>42522</v>
      </c>
      <c r="B17" s="36">
        <v>212.279999</v>
      </c>
      <c r="C17" s="36">
        <v>27.197158999999999</v>
      </c>
      <c r="D17" s="36">
        <v>47.729782</v>
      </c>
      <c r="E17" s="36">
        <v>2098.860107</v>
      </c>
      <c r="F17" s="39">
        <f t="shared" si="7"/>
        <v>0.10603916575296379</v>
      </c>
      <c r="G17" s="39">
        <f t="shared" si="4"/>
        <v>-3.0043211498671507E-3</v>
      </c>
      <c r="H17" s="39">
        <f t="shared" si="5"/>
        <v>0.10768021106821735</v>
      </c>
      <c r="I17" s="39">
        <f t="shared" si="6"/>
        <v>3.5609801125254359E-2</v>
      </c>
      <c r="J17" s="8"/>
      <c r="K17" s="31"/>
      <c r="L17" s="32"/>
      <c r="M17" s="32"/>
      <c r="N17" s="32"/>
      <c r="O17" s="32"/>
      <c r="P17" s="32"/>
      <c r="Q17" s="32"/>
      <c r="R17" s="15"/>
      <c r="S17" s="15"/>
    </row>
    <row r="18" spans="1:23" ht="15.75" thickBot="1">
      <c r="A18" s="37">
        <v>42552</v>
      </c>
      <c r="B18" s="36">
        <v>234.78999300000001</v>
      </c>
      <c r="C18" s="36">
        <v>27.115449999999999</v>
      </c>
      <c r="D18" s="36">
        <v>52.869335</v>
      </c>
      <c r="E18" s="36">
        <v>2173.6000979999999</v>
      </c>
      <c r="F18" s="39">
        <f t="shared" si="7"/>
        <v>-9.702286587657083E-2</v>
      </c>
      <c r="G18" s="39">
        <f t="shared" si="4"/>
        <v>3.2113057316032201E-3</v>
      </c>
      <c r="H18" s="39">
        <f t="shared" si="5"/>
        <v>1.3761587884546067E-2</v>
      </c>
      <c r="I18" s="39">
        <f t="shared" si="6"/>
        <v>-1.2192431360480427E-3</v>
      </c>
      <c r="J18" s="11"/>
      <c r="K18" s="43" t="s">
        <v>28</v>
      </c>
      <c r="L18" s="43"/>
      <c r="M18" s="19"/>
      <c r="N18" s="38"/>
      <c r="O18" s="38"/>
      <c r="P18" s="38"/>
      <c r="Q18" s="38"/>
      <c r="R18" s="49" t="s">
        <v>42</v>
      </c>
      <c r="S18" s="50"/>
      <c r="T18" s="50"/>
      <c r="U18" s="50"/>
      <c r="V18" s="50"/>
      <c r="W18" s="51"/>
    </row>
    <row r="19" spans="1:23" ht="15.75" thickBot="1">
      <c r="A19" s="37">
        <v>42583</v>
      </c>
      <c r="B19" s="36">
        <v>212.009995</v>
      </c>
      <c r="C19" s="36">
        <v>27.202525999999999</v>
      </c>
      <c r="D19" s="36">
        <v>53.596901000000003</v>
      </c>
      <c r="E19" s="36">
        <v>2170.9499510000001</v>
      </c>
      <c r="F19" s="39">
        <f t="shared" si="7"/>
        <v>-3.7639715995465228E-2</v>
      </c>
      <c r="G19" s="39">
        <f t="shared" si="4"/>
        <v>-5.1856618021429268E-2</v>
      </c>
      <c r="H19" s="39">
        <f t="shared" si="5"/>
        <v>8.6843453878051591E-3</v>
      </c>
      <c r="I19" s="39">
        <f t="shared" si="6"/>
        <v>-1.2344508443253854E-3</v>
      </c>
      <c r="J19" s="11"/>
      <c r="K19" s="11" t="s">
        <v>10</v>
      </c>
      <c r="L19" s="11" t="s">
        <v>11</v>
      </c>
      <c r="M19" s="19"/>
      <c r="N19" s="38"/>
      <c r="O19" s="38"/>
      <c r="P19" s="38"/>
      <c r="Q19" s="38"/>
      <c r="R19" s="45" t="s">
        <v>43</v>
      </c>
      <c r="S19" s="46"/>
      <c r="T19" s="47"/>
      <c r="U19" s="56"/>
      <c r="V19" s="57"/>
      <c r="W19" s="58"/>
    </row>
    <row r="20" spans="1:23" ht="15.75" thickBot="1">
      <c r="A20" s="37">
        <v>42614</v>
      </c>
      <c r="B20" s="36">
        <v>204.029999</v>
      </c>
      <c r="C20" s="36">
        <v>25.791895</v>
      </c>
      <c r="D20" s="36">
        <v>54.062354999999997</v>
      </c>
      <c r="E20" s="36">
        <v>2168.2700199999999</v>
      </c>
      <c r="F20" s="39">
        <f t="shared" si="7"/>
        <v>-3.0877826941517528E-2</v>
      </c>
      <c r="G20" s="39">
        <f t="shared" si="4"/>
        <v>-9.5790169741307718E-3</v>
      </c>
      <c r="H20" s="39">
        <f t="shared" si="5"/>
        <v>4.027767565804341E-2</v>
      </c>
      <c r="I20" s="39">
        <f t="shared" si="6"/>
        <v>-1.9425679279557517E-2</v>
      </c>
      <c r="J20" s="11" t="s">
        <v>16</v>
      </c>
      <c r="K20" s="18">
        <f>IFERROR(IF(OR(1/3*K2+ 1/3*L2+1/3*M2),10%*K2+ 90%*L2+1/3*M2,""),"")</f>
        <v>-1.2844152012380063E-2</v>
      </c>
      <c r="L20" s="16">
        <f>IFERROR(IF(OR(SQRT(10%^2*$K$3^2+90%^2*$L$3^2+2*10%*90%*$K$7*$K$3*$L$3)&lt;&gt;0, $K$2),SQRT(10%^2*$K$3^2+90%^2*$L$3^2+2*10%*90%*$K$7*$K$3*$L$3),""),"")</f>
        <v>0.1539255572883157</v>
      </c>
      <c r="M20" s="16"/>
      <c r="N20" s="16"/>
      <c r="O20" s="16"/>
      <c r="P20" s="16"/>
      <c r="Q20" s="16"/>
      <c r="R20" s="53" t="s">
        <v>44</v>
      </c>
      <c r="S20" s="54" t="s">
        <v>45</v>
      </c>
      <c r="T20" s="55" t="s">
        <v>46</v>
      </c>
      <c r="U20" s="59" t="s">
        <v>41</v>
      </c>
      <c r="V20" s="48" t="s">
        <v>2</v>
      </c>
      <c r="W20" s="52" t="s">
        <v>7</v>
      </c>
    </row>
    <row r="21" spans="1:23" ht="30">
      <c r="A21" s="37">
        <v>42644</v>
      </c>
      <c r="B21" s="36">
        <v>197.729996</v>
      </c>
      <c r="C21" s="36">
        <v>25.544834000000002</v>
      </c>
      <c r="D21" s="36">
        <v>56.239860999999998</v>
      </c>
      <c r="E21" s="36">
        <v>2126.1499020000001</v>
      </c>
      <c r="F21" s="39">
        <f t="shared" si="7"/>
        <v>-4.2128165521229333E-2</v>
      </c>
      <c r="G21" s="39">
        <f t="shared" si="4"/>
        <v>5.7044841238741206E-2</v>
      </c>
      <c r="H21" s="39">
        <f t="shared" si="5"/>
        <v>5.6742316628415335E-3</v>
      </c>
      <c r="I21" s="39">
        <f t="shared" si="6"/>
        <v>3.4174522187570444E-2</v>
      </c>
      <c r="J21" s="34" t="s">
        <v>29</v>
      </c>
      <c r="K21" s="18">
        <v>0.2</v>
      </c>
      <c r="L21" s="16">
        <v>0.3</v>
      </c>
      <c r="M21" s="16">
        <v>0.5</v>
      </c>
      <c r="N21" s="16"/>
      <c r="O21" s="16"/>
      <c r="P21" s="16"/>
      <c r="Q21" s="16"/>
      <c r="R21" s="69">
        <v>-1.7524118920853149E-2</v>
      </c>
      <c r="S21" s="70">
        <v>0.51623878640869303</v>
      </c>
      <c r="T21" s="71">
        <v>0.50128533251216001</v>
      </c>
      <c r="U21" s="72">
        <f>SUM(R21:T21)</f>
        <v>0.99999999999999989</v>
      </c>
      <c r="V21" s="73">
        <f>SQRT(R21^2*K3^2+S21^2*L3^2+T21^2*M3^2+2*R21*S21*K7*K3*L3 + 2*R21*T21*K8*K3*M3+2*S21*T21*L8*L3*M3)</f>
        <v>0.14348424850802141</v>
      </c>
      <c r="W21" s="74">
        <f>R21*K2+S21*L2 + T21*M2</f>
        <v>-5.0000000347724758E-3</v>
      </c>
    </row>
    <row r="22" spans="1:23" ht="30">
      <c r="A22" s="37">
        <v>42675</v>
      </c>
      <c r="B22" s="36">
        <v>189.39999399999999</v>
      </c>
      <c r="C22" s="36">
        <v>27.002034999999999</v>
      </c>
      <c r="D22" s="36">
        <v>56.558979000000001</v>
      </c>
      <c r="E22" s="36">
        <v>2198.8100589999999</v>
      </c>
      <c r="F22" s="39">
        <f t="shared" si="7"/>
        <v>0.12824714239431279</v>
      </c>
      <c r="G22" s="39">
        <f t="shared" si="4"/>
        <v>2.7308126961542056E-2</v>
      </c>
      <c r="H22" s="39">
        <f t="shared" si="5"/>
        <v>3.8164461915056958E-2</v>
      </c>
      <c r="I22" s="39">
        <f t="shared" si="6"/>
        <v>1.8200762196895148E-2</v>
      </c>
      <c r="J22" s="33" t="s">
        <v>30</v>
      </c>
      <c r="K22" s="18">
        <f>IFERROR(IF(OR(K21*K2+ L21*L2+M21*M2),K21*K2+ L21*L2+M21*M2,""),"")</f>
        <v>3.8604186818842513E-3</v>
      </c>
      <c r="L22" s="16">
        <f>IFERROR(IF(OR(SQRT(K21^2*K3^2+L21^2*L3^2+M21^2*M3^2+2*K21*L21*K7*K3*L3+2*K21*M21*K8*K3*M3+2*L21*M21*L8*L3*M3)&lt;&gt;0,$K$2),SQRT(K21^2*K3^2+L21^2*L3^2+M21^2*M3^2+2*K21*L21*K7*K3*L3+2*K21*M21*K8*K3*M3+2*L21*M21*L8*L3*M3),""),"")</f>
        <v>0.14425326536407823</v>
      </c>
      <c r="M22" s="16"/>
      <c r="N22" s="16"/>
      <c r="O22" s="16"/>
      <c r="P22" s="16"/>
      <c r="Q22" s="16"/>
      <c r="R22" s="75">
        <v>7.6521245405992463E-2</v>
      </c>
      <c r="S22" s="76">
        <v>8.9424463427710321E-2</v>
      </c>
      <c r="T22" s="77">
        <v>0.83405429116629715</v>
      </c>
      <c r="U22" s="75">
        <v>1</v>
      </c>
      <c r="V22" s="76">
        <v>0.14328019264470665</v>
      </c>
      <c r="W22" s="77">
        <v>1.0000000040766736E-2</v>
      </c>
    </row>
    <row r="23" spans="1:23">
      <c r="A23" s="37">
        <v>42705</v>
      </c>
      <c r="B23" s="36">
        <v>213.69000199999999</v>
      </c>
      <c r="C23" s="36">
        <v>27.739409999999999</v>
      </c>
      <c r="D23" s="36">
        <v>58.717522000000002</v>
      </c>
      <c r="E23" s="36">
        <v>2238.830078</v>
      </c>
      <c r="F23" s="39">
        <f t="shared" si="7"/>
        <v>0.17895077281154226</v>
      </c>
      <c r="G23" s="39">
        <f t="shared" si="4"/>
        <v>-5.2768101412394852E-2</v>
      </c>
      <c r="H23" s="39">
        <f t="shared" si="5"/>
        <v>4.0392661665797025E-2</v>
      </c>
      <c r="I23" s="39">
        <f t="shared" si="6"/>
        <v>1.7884358171464498E-2</v>
      </c>
      <c r="J23" s="8" t="s">
        <v>3</v>
      </c>
      <c r="K23" s="31"/>
      <c r="L23" s="32" t="s">
        <v>3</v>
      </c>
      <c r="M23" s="32"/>
      <c r="N23" s="15"/>
      <c r="O23" s="15"/>
      <c r="R23" s="66">
        <v>4.517278879733605E-2</v>
      </c>
      <c r="S23" s="67">
        <v>0.23169590499950413</v>
      </c>
      <c r="T23" s="68">
        <v>0.72313130620316002</v>
      </c>
      <c r="U23" s="66">
        <v>1.0000000000000002</v>
      </c>
      <c r="V23" s="67">
        <v>0.14216908640642875</v>
      </c>
      <c r="W23" s="68">
        <v>4.9999999826089532E-3</v>
      </c>
    </row>
    <row r="24" spans="1:23">
      <c r="A24" s="37">
        <v>42736</v>
      </c>
      <c r="B24" s="36">
        <v>251.929993</v>
      </c>
      <c r="C24" s="36">
        <v>26.275653999999999</v>
      </c>
      <c r="D24" s="36">
        <v>61.089278999999998</v>
      </c>
      <c r="E24" s="36">
        <v>2278.8701169999999</v>
      </c>
      <c r="F24" s="39">
        <f t="shared" si="7"/>
        <v>-7.7005043222463376E-3</v>
      </c>
      <c r="G24" s="39">
        <f t="shared" si="4"/>
        <v>3.703618566449407E-3</v>
      </c>
      <c r="H24" s="39">
        <f t="shared" si="5"/>
        <v>-1.0363373252449071E-2</v>
      </c>
      <c r="I24" s="39">
        <f t="shared" si="6"/>
        <v>3.7198160337279074E-2</v>
      </c>
      <c r="R24" s="66">
        <v>-1.7524118920853149E-2</v>
      </c>
      <c r="S24" s="67">
        <v>0.51623878640869303</v>
      </c>
      <c r="T24" s="68">
        <v>0.50128533251216001</v>
      </c>
      <c r="U24" s="66">
        <v>0.99999999999999989</v>
      </c>
      <c r="V24" s="67">
        <v>0.14348424850802141</v>
      </c>
      <c r="W24" s="68">
        <v>-5.0000000347724758E-3</v>
      </c>
    </row>
    <row r="25" spans="1:23">
      <c r="A25" s="37">
        <v>42767</v>
      </c>
      <c r="B25" s="36">
        <v>249.990005</v>
      </c>
      <c r="C25" s="36">
        <v>26.372969000000001</v>
      </c>
      <c r="D25" s="36">
        <v>60.456187999999997</v>
      </c>
      <c r="E25" s="36">
        <v>2363.639893</v>
      </c>
      <c r="F25" s="39">
        <f t="shared" si="7"/>
        <v>0.11324445951349138</v>
      </c>
      <c r="G25" s="39">
        <f t="shared" si="4"/>
        <v>7.9595513117995953E-3</v>
      </c>
      <c r="H25" s="39">
        <f t="shared" si="5"/>
        <v>3.5624806512775775E-2</v>
      </c>
      <c r="I25" s="39">
        <f t="shared" si="6"/>
        <v>-3.8919718808450021E-4</v>
      </c>
      <c r="J25" s="21"/>
      <c r="K25" s="20" t="s">
        <v>17</v>
      </c>
      <c r="L25" s="20" t="s">
        <v>18</v>
      </c>
      <c r="M25" s="20" t="s">
        <v>19</v>
      </c>
      <c r="N25" s="20" t="s">
        <v>31</v>
      </c>
      <c r="O25" s="20" t="s">
        <v>32</v>
      </c>
      <c r="R25" s="60"/>
      <c r="S25" s="61"/>
      <c r="T25" s="62"/>
      <c r="U25" s="60" t="s">
        <v>3</v>
      </c>
      <c r="V25" s="61"/>
      <c r="W25" s="62"/>
    </row>
    <row r="26" spans="1:23">
      <c r="A26" s="37">
        <v>42795</v>
      </c>
      <c r="B26" s="36">
        <v>278.29998799999998</v>
      </c>
      <c r="C26" s="36">
        <v>26.582885999999998</v>
      </c>
      <c r="D26" s="36">
        <v>62.609927999999996</v>
      </c>
      <c r="E26" s="36">
        <v>2362.719971</v>
      </c>
      <c r="F26" s="39">
        <f t="shared" si="7"/>
        <v>0.1285304367314597</v>
      </c>
      <c r="G26" s="39">
        <f t="shared" si="4"/>
        <v>-2.7181172127059394E-2</v>
      </c>
      <c r="H26" s="39">
        <f t="shared" si="5"/>
        <v>3.9477748640758703E-2</v>
      </c>
      <c r="I26" s="39">
        <f t="shared" si="6"/>
        <v>9.0912085493182193E-3</v>
      </c>
      <c r="J26" s="20" t="s">
        <v>6</v>
      </c>
      <c r="K26" s="26">
        <f>IFERROR(IF(OR(SLOPE(F2:F61,$I$2:$I$61)),SLOPE(F2:F61,$I2:$I$61),""),"")</f>
        <v>1.011438030917279</v>
      </c>
      <c r="L26" s="26">
        <f>IFERROR(IF(OR(SLOPE(G2:G61,$I$2:$I$61)),SLOPE(G2:G61,$I2:$I$61),""),"")</f>
        <v>0.9952012397190928</v>
      </c>
      <c r="M26" s="26">
        <f>IFERROR(IF(OR(SLOPE(H2:H61,$I$2:$I$61)),SLOPE(H2:H61,$I2:$I$61),""),"")</f>
        <v>1.0277468587627574</v>
      </c>
      <c r="N26" s="26">
        <f>IFERROR(IF(OR(SLOPE(I2:I61,$I$2:$I$61)),SLOPE(I2:I61,$I2:$I$61),""),"")</f>
        <v>1</v>
      </c>
      <c r="O26" s="35">
        <f>IFERROR(IF(OR(K21*K26+ L21*L26+M21*M26),K21*K26+ L21*L26+M21*M26,""),"")</f>
        <v>1.0147214074805624</v>
      </c>
      <c r="R26" s="60"/>
      <c r="S26" s="61"/>
      <c r="T26" s="62"/>
      <c r="U26" s="60"/>
      <c r="V26" s="61" t="s">
        <v>3</v>
      </c>
      <c r="W26" s="62"/>
    </row>
    <row r="27" spans="1:23">
      <c r="A27" s="37">
        <v>42826</v>
      </c>
      <c r="B27" s="36">
        <v>314.07000699999998</v>
      </c>
      <c r="C27" s="36">
        <v>25.860332</v>
      </c>
      <c r="D27" s="36">
        <v>65.081626999999997</v>
      </c>
      <c r="E27" s="36">
        <v>2384.1999510000001</v>
      </c>
      <c r="F27" s="39">
        <f t="shared" si="7"/>
        <v>8.5777063710512413E-2</v>
      </c>
      <c r="G27" s="39">
        <f t="shared" si="4"/>
        <v>-5.5536293965599559E-2</v>
      </c>
      <c r="H27" s="39">
        <f t="shared" si="5"/>
        <v>2.0157609151350897E-2</v>
      </c>
      <c r="I27" s="39">
        <f t="shared" si="6"/>
        <v>1.157625139134133E-2</v>
      </c>
      <c r="R27" s="60"/>
      <c r="S27" s="61"/>
      <c r="T27" s="62" t="s">
        <v>3</v>
      </c>
      <c r="U27" s="60"/>
      <c r="V27" s="61"/>
      <c r="W27" s="62"/>
    </row>
    <row r="28" spans="1:23">
      <c r="A28" s="37">
        <v>42856</v>
      </c>
      <c r="B28" s="36">
        <v>341.01001000000002</v>
      </c>
      <c r="C28" s="36">
        <v>24.424144999999999</v>
      </c>
      <c r="D28" s="36">
        <v>66.393517000000003</v>
      </c>
      <c r="E28" s="36">
        <v>2411.8000489999999</v>
      </c>
      <c r="F28" s="39">
        <f t="shared" si="7"/>
        <v>6.0408710583011782E-2</v>
      </c>
      <c r="G28" s="39">
        <f t="shared" si="4"/>
        <v>-1.3513635789502487E-2</v>
      </c>
      <c r="H28" s="39">
        <f t="shared" si="5"/>
        <v>-7.372511987879693E-3</v>
      </c>
      <c r="I28" s="39">
        <f t="shared" si="6"/>
        <v>4.8137750908554544E-3</v>
      </c>
      <c r="J28" s="27" t="s">
        <v>12</v>
      </c>
      <c r="K28" s="28" t="s">
        <v>13</v>
      </c>
      <c r="L28" s="29">
        <v>0.02</v>
      </c>
      <c r="R28" s="60"/>
      <c r="S28" s="61"/>
      <c r="T28" s="62"/>
      <c r="U28" s="60"/>
      <c r="V28" s="61"/>
      <c r="W28" s="62"/>
    </row>
    <row r="29" spans="1:23">
      <c r="A29" s="37">
        <v>42887</v>
      </c>
      <c r="B29" s="36">
        <v>361.60998499999999</v>
      </c>
      <c r="C29" s="36">
        <v>24.094086000000001</v>
      </c>
      <c r="D29" s="36">
        <v>65.904030000000006</v>
      </c>
      <c r="E29" s="36">
        <v>2423.4099120000001</v>
      </c>
      <c r="F29" s="39">
        <f t="shared" si="7"/>
        <v>-0.10547270701056544</v>
      </c>
      <c r="G29" s="39">
        <f t="shared" si="4"/>
        <v>-3.5190046221301063E-2</v>
      </c>
      <c r="H29" s="39">
        <f t="shared" si="5"/>
        <v>5.4693165197939875E-2</v>
      </c>
      <c r="I29" s="39">
        <f t="shared" si="6"/>
        <v>1.9348826118030571E-2</v>
      </c>
      <c r="J29" s="27" t="s">
        <v>3</v>
      </c>
      <c r="K29" s="28" t="s">
        <v>14</v>
      </c>
      <c r="L29" s="29">
        <v>0.08</v>
      </c>
      <c r="R29" s="60"/>
      <c r="S29" s="61"/>
      <c r="T29" s="62"/>
      <c r="U29" s="60"/>
      <c r="V29" s="61"/>
      <c r="W29" s="62"/>
    </row>
    <row r="30" spans="1:23">
      <c r="A30" s="37">
        <v>42917</v>
      </c>
      <c r="B30" s="36">
        <v>323.47000100000002</v>
      </c>
      <c r="C30" s="36">
        <v>23.246213999999998</v>
      </c>
      <c r="D30" s="36">
        <v>69.508529999999993</v>
      </c>
      <c r="E30" s="36">
        <v>2470.3000489999999</v>
      </c>
      <c r="F30" s="39">
        <f t="shared" si="7"/>
        <v>0.10025657062399418</v>
      </c>
      <c r="G30" s="39">
        <f t="shared" si="4"/>
        <v>-4.1389965695058928E-2</v>
      </c>
      <c r="H30" s="39">
        <f t="shared" si="5"/>
        <v>2.8473138476673432E-2</v>
      </c>
      <c r="I30" s="39">
        <f t="shared" si="6"/>
        <v>5.4643281108557318E-4</v>
      </c>
      <c r="J30" s="44" t="s">
        <v>15</v>
      </c>
      <c r="K30" s="44"/>
      <c r="L30" s="44"/>
      <c r="M30" s="44"/>
      <c r="N30" s="44"/>
      <c r="O30" s="44"/>
      <c r="P30" s="23"/>
      <c r="R30" s="60"/>
      <c r="S30" s="61"/>
      <c r="T30" s="62"/>
      <c r="U30" s="60"/>
      <c r="V30" s="61"/>
      <c r="W30" s="62"/>
    </row>
    <row r="31" spans="1:23">
      <c r="A31" s="37">
        <v>42948</v>
      </c>
      <c r="B31" s="36">
        <v>355.89999399999999</v>
      </c>
      <c r="C31" s="36">
        <v>22.284054000000001</v>
      </c>
      <c r="D31" s="36">
        <v>71.487656000000001</v>
      </c>
      <c r="E31" s="36">
        <v>2471.6499020000001</v>
      </c>
      <c r="F31" s="39">
        <f t="shared" si="7"/>
        <v>-4.1584681791256184E-2</v>
      </c>
      <c r="G31" s="39">
        <f t="shared" si="4"/>
        <v>-1.5071315120668838E-2</v>
      </c>
      <c r="H31" s="39">
        <f t="shared" si="5"/>
        <v>1.563164974943243E-3</v>
      </c>
      <c r="I31" s="39">
        <f t="shared" si="6"/>
        <v>1.9302978533243698E-2</v>
      </c>
      <c r="J31" s="23"/>
      <c r="K31" s="24" t="s">
        <v>20</v>
      </c>
      <c r="L31" s="24" t="s">
        <v>21</v>
      </c>
      <c r="M31" s="24" t="s">
        <v>22</v>
      </c>
      <c r="N31" s="24" t="s">
        <v>8</v>
      </c>
      <c r="O31" s="24" t="s">
        <v>9</v>
      </c>
      <c r="P31" s="30" t="s">
        <v>33</v>
      </c>
      <c r="R31" s="60"/>
      <c r="S31" s="61"/>
      <c r="T31" s="62"/>
      <c r="U31" s="60"/>
      <c r="V31" s="61"/>
      <c r="W31" s="62"/>
    </row>
    <row r="32" spans="1:23">
      <c r="A32" s="37">
        <v>42979</v>
      </c>
      <c r="B32" s="36">
        <v>341.10000600000001</v>
      </c>
      <c r="C32" s="36">
        <v>21.948204</v>
      </c>
      <c r="D32" s="36">
        <v>71.599402999999995</v>
      </c>
      <c r="E32" s="36">
        <v>2519.360107</v>
      </c>
      <c r="F32" s="39">
        <f t="shared" si="7"/>
        <v>-2.8056308506778649E-2</v>
      </c>
      <c r="G32" s="39">
        <f t="shared" si="4"/>
        <v>-0.15758596922098966</v>
      </c>
      <c r="H32" s="39">
        <f t="shared" si="5"/>
        <v>0.11665996712291027</v>
      </c>
      <c r="I32" s="39">
        <f t="shared" si="6"/>
        <v>2.218813533034969E-2</v>
      </c>
      <c r="J32" s="24" t="s">
        <v>6</v>
      </c>
      <c r="K32" s="25">
        <f>IFERROR(IF(OR(K26),K26,""),"")</f>
        <v>1.011438030917279</v>
      </c>
      <c r="L32" s="25">
        <f t="shared" ref="L32:M32" si="8">IFERROR(IF(OR(L26),L26,""),"")</f>
        <v>0.9952012397190928</v>
      </c>
      <c r="M32" s="25">
        <f t="shared" si="8"/>
        <v>1.0277468587627574</v>
      </c>
      <c r="N32" s="25">
        <v>0</v>
      </c>
      <c r="O32" s="25">
        <v>1</v>
      </c>
      <c r="P32" s="25">
        <f>IFERROR(IF(OR(O26),O26,""),"")</f>
        <v>1.0147214074805624</v>
      </c>
      <c r="R32" s="60"/>
      <c r="S32" s="61"/>
      <c r="T32" s="62"/>
      <c r="U32" s="60"/>
      <c r="V32" s="61"/>
      <c r="W32" s="62"/>
    </row>
    <row r="33" spans="1:23">
      <c r="A33" s="37">
        <v>43009</v>
      </c>
      <c r="B33" s="36">
        <v>331.52999899999998</v>
      </c>
      <c r="C33" s="36">
        <v>18.489474999999999</v>
      </c>
      <c r="D33" s="36">
        <v>79.952186999999995</v>
      </c>
      <c r="E33" s="36">
        <v>2575.26001</v>
      </c>
      <c r="F33" s="39">
        <f t="shared" si="7"/>
        <v>-6.841007772572627E-2</v>
      </c>
      <c r="G33" s="39">
        <f t="shared" si="4"/>
        <v>-9.2758069117700681E-2</v>
      </c>
      <c r="H33" s="39">
        <f t="shared" si="5"/>
        <v>1.1901813267471972E-2</v>
      </c>
      <c r="I33" s="39">
        <f t="shared" si="6"/>
        <v>3.7200430103365711E-3</v>
      </c>
      <c r="J33" s="24" t="s">
        <v>7</v>
      </c>
      <c r="K33" s="18">
        <f>IFERROR(IF(OR($L$28+K26*($L$29-$L$28)),$L28+K26*($L$29-$L$28),""),"")</f>
        <v>8.0686281855036734E-2</v>
      </c>
      <c r="L33" s="18">
        <f t="shared" ref="L33:M33" si="9">IFERROR(IF(OR($L$28+L26*($L$29-$L$28)),$L28+L26*($L$29-$L$28),""),"")</f>
        <v>7.9712074383145565E-2</v>
      </c>
      <c r="M33" s="18">
        <f t="shared" si="9"/>
        <v>8.1664811525765449E-2</v>
      </c>
      <c r="N33" s="18">
        <f>IFERROR(IF(OR($L$28+N32*($L$29-$L$28)),$L28+N32*($L$29-$L$28),""),"")</f>
        <v>0.02</v>
      </c>
      <c r="O33" s="18">
        <f>IFERROR(IF(OR($L$28+O32*($L$29-$L$28)),$L28+O32*($L$29-$L$28),""),"")</f>
        <v>0.08</v>
      </c>
      <c r="P33" s="18">
        <f>IFERROR(IF(OR($L$28+O26*($L$29-$L$28)),$L28+O26*($L$29-$L$28),""),"")</f>
        <v>8.0883284448833748E-2</v>
      </c>
      <c r="R33" s="60"/>
      <c r="S33" s="61"/>
      <c r="T33" s="62"/>
      <c r="U33" s="60"/>
      <c r="V33" s="61"/>
      <c r="W33" s="62"/>
    </row>
    <row r="34" spans="1:23" ht="15.75" thickBot="1">
      <c r="A34" s="37">
        <v>43040</v>
      </c>
      <c r="B34" s="36">
        <v>308.85000600000001</v>
      </c>
      <c r="C34" s="36">
        <v>16.774426999999999</v>
      </c>
      <c r="D34" s="36">
        <v>80.903762999999998</v>
      </c>
      <c r="E34" s="36">
        <v>2584.8400879999999</v>
      </c>
      <c r="F34" s="39">
        <f t="shared" si="7"/>
        <v>8.0945441199051782E-3</v>
      </c>
      <c r="G34" s="39">
        <f t="shared" si="4"/>
        <v>-4.5926516595768074E-2</v>
      </c>
      <c r="H34" s="39">
        <f t="shared" si="5"/>
        <v>2.1380736023366431E-2</v>
      </c>
      <c r="I34" s="39">
        <f t="shared" si="6"/>
        <v>3.4342557364422932E-2</v>
      </c>
      <c r="R34" s="63"/>
      <c r="S34" s="64"/>
      <c r="T34" s="65"/>
      <c r="U34" s="63"/>
      <c r="V34" s="64"/>
      <c r="W34" s="65"/>
    </row>
    <row r="35" spans="1:23">
      <c r="A35" s="37">
        <v>43070</v>
      </c>
      <c r="B35" s="36">
        <v>311.35000600000001</v>
      </c>
      <c r="C35" s="36">
        <v>16.004035999999999</v>
      </c>
      <c r="D35" s="36">
        <v>82.633544999999998</v>
      </c>
      <c r="E35" s="36">
        <v>2673.610107</v>
      </c>
      <c r="F35" s="39">
        <f t="shared" si="7"/>
        <v>0.13797973718362488</v>
      </c>
      <c r="G35" s="39">
        <f t="shared" si="4"/>
        <v>-6.0091966801374297E-2</v>
      </c>
      <c r="H35" s="39">
        <f t="shared" si="5"/>
        <v>0.11070817547522638</v>
      </c>
      <c r="I35" s="39">
        <f t="shared" si="6"/>
        <v>5.6178704444133087E-2</v>
      </c>
    </row>
    <row r="36" spans="1:23">
      <c r="A36" s="37">
        <v>43101</v>
      </c>
      <c r="B36" s="36">
        <v>354.30999800000001</v>
      </c>
      <c r="C36" s="36">
        <v>15.042322</v>
      </c>
      <c r="D36" s="36">
        <v>91.781754000000006</v>
      </c>
      <c r="E36" s="36">
        <v>2823.8100589999999</v>
      </c>
      <c r="F36" s="39">
        <f t="shared" si="7"/>
        <v>-3.1751855898799697E-2</v>
      </c>
      <c r="G36" s="39">
        <f t="shared" si="4"/>
        <v>-0.12739635542970029</v>
      </c>
      <c r="H36" s="39">
        <f t="shared" si="5"/>
        <v>-1.3051188801643576E-2</v>
      </c>
      <c r="I36" s="39">
        <f t="shared" si="6"/>
        <v>-3.8947372061896912E-2</v>
      </c>
    </row>
    <row r="37" spans="1:23">
      <c r="A37" s="37">
        <v>43132</v>
      </c>
      <c r="B37" s="36">
        <v>343.05999800000001</v>
      </c>
      <c r="C37" s="36">
        <v>13.125985</v>
      </c>
      <c r="D37" s="36">
        <v>90.583893000000003</v>
      </c>
      <c r="E37" s="36">
        <v>2713.830078</v>
      </c>
      <c r="F37" s="39">
        <f t="shared" si="7"/>
        <v>-0.22424646839763585</v>
      </c>
      <c r="G37" s="39">
        <f t="shared" si="4"/>
        <v>-3.6423856952449651E-2</v>
      </c>
      <c r="H37" s="39">
        <f t="shared" si="5"/>
        <v>-2.2088838685703216E-2</v>
      </c>
      <c r="I37" s="39">
        <f t="shared" si="6"/>
        <v>-2.6884498624825115E-2</v>
      </c>
    </row>
    <row r="38" spans="1:23">
      <c r="A38" s="37">
        <v>43160</v>
      </c>
      <c r="B38" s="36">
        <v>266.13000499999998</v>
      </c>
      <c r="C38" s="36">
        <v>12.647886</v>
      </c>
      <c r="D38" s="36">
        <v>88.582999999999998</v>
      </c>
      <c r="E38" s="36">
        <v>2640.8701169999999</v>
      </c>
      <c r="F38" s="39">
        <f t="shared" si="7"/>
        <v>0.10434745604878337</v>
      </c>
      <c r="G38" s="39">
        <f t="shared" si="4"/>
        <v>4.3768500127215004E-2</v>
      </c>
      <c r="H38" s="39">
        <f t="shared" si="5"/>
        <v>2.465206642358031E-2</v>
      </c>
      <c r="I38" s="39">
        <f t="shared" si="6"/>
        <v>2.718775131643536E-3</v>
      </c>
    </row>
    <row r="39" spans="1:23">
      <c r="A39" s="37">
        <v>43191</v>
      </c>
      <c r="B39" s="36">
        <v>293.89999399999999</v>
      </c>
      <c r="C39" s="36">
        <v>13.201465000000001</v>
      </c>
      <c r="D39" s="36">
        <v>90.766754000000006</v>
      </c>
      <c r="E39" s="36">
        <v>2648.0500489999999</v>
      </c>
      <c r="F39" s="39">
        <f t="shared" si="7"/>
        <v>-3.1201031599884965E-2</v>
      </c>
      <c r="G39" s="39">
        <f t="shared" si="4"/>
        <v>7.1075445035839735E-4</v>
      </c>
      <c r="H39" s="39">
        <f t="shared" si="5"/>
        <v>5.6886291207461248E-2</v>
      </c>
      <c r="I39" s="39">
        <f t="shared" si="6"/>
        <v>2.1608341965291933E-2</v>
      </c>
    </row>
    <row r="40" spans="1:23">
      <c r="A40" s="37">
        <v>43221</v>
      </c>
      <c r="B40" s="36">
        <v>284.73001099999999</v>
      </c>
      <c r="C40" s="36">
        <v>13.210848</v>
      </c>
      <c r="D40" s="36">
        <v>95.930137999999999</v>
      </c>
      <c r="E40" s="36">
        <v>2705.2700199999999</v>
      </c>
      <c r="F40" s="39">
        <f t="shared" si="7"/>
        <v>0.20447440997008215</v>
      </c>
      <c r="G40" s="39">
        <f t="shared" si="4"/>
        <v>-3.3380748911803426E-2</v>
      </c>
      <c r="H40" s="39">
        <f t="shared" si="5"/>
        <v>1.9974119082368791E-3</v>
      </c>
      <c r="I40" s="39">
        <f t="shared" si="6"/>
        <v>4.8424360241865472E-3</v>
      </c>
      <c r="K40" s="22"/>
    </row>
    <row r="41" spans="1:23">
      <c r="A41" s="37">
        <v>43252</v>
      </c>
      <c r="B41" s="36">
        <v>342.95001200000002</v>
      </c>
      <c r="C41" s="36">
        <v>12.76986</v>
      </c>
      <c r="D41" s="36">
        <v>96.121750000000006</v>
      </c>
      <c r="E41" s="36">
        <v>2718.3701169999999</v>
      </c>
      <c r="F41" s="39">
        <f t="shared" si="7"/>
        <v>-0.13066043280966555</v>
      </c>
      <c r="G41" s="39">
        <f t="shared" si="4"/>
        <v>1.0717188755397622E-2</v>
      </c>
      <c r="H41" s="39">
        <f t="shared" si="5"/>
        <v>7.5752907120396618E-2</v>
      </c>
      <c r="I41" s="39">
        <f t="shared" si="6"/>
        <v>3.6021556221367268E-2</v>
      </c>
      <c r="K41" s="22"/>
    </row>
    <row r="42" spans="1:23">
      <c r="A42" s="37">
        <v>43282</v>
      </c>
      <c r="B42" s="36">
        <v>298.14001500000001</v>
      </c>
      <c r="C42" s="36">
        <v>12.906717</v>
      </c>
      <c r="D42" s="36">
        <v>103.40325199999999</v>
      </c>
      <c r="E42" s="36">
        <v>2816.290039</v>
      </c>
      <c r="F42" s="39">
        <f t="shared" si="7"/>
        <v>1.1806496353734985E-2</v>
      </c>
      <c r="G42" s="39">
        <f t="shared" si="4"/>
        <v>-5.0623562909142605E-2</v>
      </c>
      <c r="H42" s="39">
        <f t="shared" si="5"/>
        <v>5.8917798832864632E-2</v>
      </c>
      <c r="I42" s="39">
        <f t="shared" si="6"/>
        <v>3.0263211466054596E-2</v>
      </c>
    </row>
    <row r="43" spans="1:23">
      <c r="A43" s="37">
        <v>43313</v>
      </c>
      <c r="B43" s="36">
        <v>301.66000400000001</v>
      </c>
      <c r="C43" s="36">
        <v>12.253333</v>
      </c>
      <c r="D43" s="36">
        <v>109.495544</v>
      </c>
      <c r="E43" s="36">
        <v>2901.5200199999999</v>
      </c>
      <c r="F43" s="39">
        <f t="shared" si="7"/>
        <v>-0.12229004346230798</v>
      </c>
      <c r="G43" s="39">
        <f t="shared" si="4"/>
        <v>-0.12751159215211072</v>
      </c>
      <c r="H43" s="39">
        <f t="shared" si="5"/>
        <v>2.2078907612897991E-2</v>
      </c>
      <c r="I43" s="39">
        <f t="shared" si="6"/>
        <v>4.2942871026614426E-3</v>
      </c>
    </row>
    <row r="44" spans="1:23">
      <c r="A44" s="37">
        <v>43344</v>
      </c>
      <c r="B44" s="36">
        <v>264.76998900000001</v>
      </c>
      <c r="C44" s="36">
        <v>10.690891000000001</v>
      </c>
      <c r="D44" s="36">
        <v>111.91308600000001</v>
      </c>
      <c r="E44" s="36">
        <v>2913.9799800000001</v>
      </c>
      <c r="F44" s="39">
        <f t="shared" si="7"/>
        <v>0.27401148549354648</v>
      </c>
      <c r="G44" s="39">
        <f t="shared" si="4"/>
        <v>-9.6531898042922726E-2</v>
      </c>
      <c r="H44" s="39">
        <f t="shared" si="5"/>
        <v>-6.6101277914899059E-2</v>
      </c>
      <c r="I44" s="39">
        <f t="shared" si="6"/>
        <v>-6.9403356024429486E-2</v>
      </c>
    </row>
    <row r="45" spans="1:23">
      <c r="A45" s="37">
        <v>43374</v>
      </c>
      <c r="B45" s="36">
        <v>337.32000699999998</v>
      </c>
      <c r="C45" s="36">
        <v>9.6588790000000007</v>
      </c>
      <c r="D45" s="36">
        <v>104.515488</v>
      </c>
      <c r="E45" s="36">
        <v>2711.73999</v>
      </c>
      <c r="F45" s="39">
        <f t="shared" si="7"/>
        <v>3.90134107876976E-2</v>
      </c>
      <c r="G45" s="39">
        <f t="shared" si="4"/>
        <v>-0.25742573232359578</v>
      </c>
      <c r="H45" s="39">
        <f t="shared" si="5"/>
        <v>3.8198836138046754E-2</v>
      </c>
      <c r="I45" s="39">
        <f t="shared" si="6"/>
        <v>1.7859356788848979E-2</v>
      </c>
    </row>
    <row r="46" spans="1:23">
      <c r="A46" s="37">
        <v>43405</v>
      </c>
      <c r="B46" s="36">
        <v>350.48001099999999</v>
      </c>
      <c r="C46" s="36">
        <v>7.1724350000000001</v>
      </c>
      <c r="D46" s="36">
        <v>108.507858</v>
      </c>
      <c r="E46" s="36">
        <v>2760.169922</v>
      </c>
      <c r="F46" s="39">
        <f t="shared" si="7"/>
        <v>-5.0445167898605203E-2</v>
      </c>
      <c r="G46" s="39">
        <f t="shared" si="4"/>
        <v>9.3333714421950376E-3</v>
      </c>
      <c r="H46" s="39">
        <f t="shared" si="5"/>
        <v>-8.0090393084710998E-2</v>
      </c>
      <c r="I46" s="39">
        <f t="shared" si="6"/>
        <v>-9.1776894596563907E-2</v>
      </c>
    </row>
    <row r="47" spans="1:23">
      <c r="A47" s="37">
        <v>43435</v>
      </c>
      <c r="B47" s="36">
        <v>332.79998799999998</v>
      </c>
      <c r="C47" s="36">
        <v>7.2393780000000003</v>
      </c>
      <c r="D47" s="36">
        <v>99.817420999999996</v>
      </c>
      <c r="E47" s="36">
        <v>2506.8500979999999</v>
      </c>
      <c r="F47" s="39">
        <f t="shared" si="7"/>
        <v>-7.746394209605556E-2</v>
      </c>
      <c r="G47" s="39">
        <f t="shared" si="4"/>
        <v>0.34406008361491836</v>
      </c>
      <c r="H47" s="39">
        <f t="shared" si="5"/>
        <v>2.8157950504451579E-2</v>
      </c>
      <c r="I47" s="39">
        <f t="shared" si="6"/>
        <v>7.8684401655036762E-2</v>
      </c>
    </row>
    <row r="48" spans="1:23">
      <c r="A48" s="37">
        <v>43466</v>
      </c>
      <c r="B48" s="36">
        <v>307.01998900000001</v>
      </c>
      <c r="C48" s="36">
        <v>9.7301590000000004</v>
      </c>
      <c r="D48" s="36">
        <v>102.628075</v>
      </c>
      <c r="E48" s="36">
        <v>2704.1000979999999</v>
      </c>
      <c r="F48" s="39">
        <f t="shared" si="7"/>
        <v>4.188657566527354E-2</v>
      </c>
      <c r="G48" s="39">
        <f t="shared" si="4"/>
        <v>6.3543360391130177E-2</v>
      </c>
      <c r="H48" s="39">
        <f t="shared" si="5"/>
        <v>7.2776031315017864E-2</v>
      </c>
      <c r="I48" s="39">
        <f t="shared" si="6"/>
        <v>2.9728889126352298E-2</v>
      </c>
    </row>
    <row r="49" spans="1:9">
      <c r="A49" s="37">
        <v>43497</v>
      </c>
      <c r="B49" s="36">
        <v>319.88000499999998</v>
      </c>
      <c r="C49" s="36">
        <v>10.348445999999999</v>
      </c>
      <c r="D49" s="36">
        <v>110.09693900000001</v>
      </c>
      <c r="E49" s="36">
        <v>2784.48999</v>
      </c>
      <c r="F49" s="39">
        <f t="shared" si="7"/>
        <v>-0.12510947659888894</v>
      </c>
      <c r="G49" s="39">
        <f t="shared" si="4"/>
        <v>-3.8498630615649954E-2</v>
      </c>
      <c r="H49" s="39">
        <f t="shared" si="5"/>
        <v>5.7249766044812578E-2</v>
      </c>
      <c r="I49" s="39">
        <f t="shared" si="6"/>
        <v>1.7924256211817147E-2</v>
      </c>
    </row>
    <row r="50" spans="1:9">
      <c r="A50" s="37">
        <v>43525</v>
      </c>
      <c r="B50" s="36">
        <v>279.85998499999999</v>
      </c>
      <c r="C50" s="36">
        <v>9.9500449999999994</v>
      </c>
      <c r="D50" s="36">
        <v>116.399963</v>
      </c>
      <c r="E50" s="36">
        <v>2834.3999020000001</v>
      </c>
      <c r="F50" s="39">
        <f t="shared" si="7"/>
        <v>-0.14710921606030958</v>
      </c>
      <c r="G50" s="39">
        <f t="shared" si="4"/>
        <v>1.9096396046450081E-2</v>
      </c>
      <c r="H50" s="39">
        <f t="shared" si="5"/>
        <v>0.10734273171547315</v>
      </c>
      <c r="I50" s="39">
        <f t="shared" si="6"/>
        <v>3.9313498395682656E-2</v>
      </c>
    </row>
    <row r="51" spans="1:9">
      <c r="A51" s="37">
        <v>43556</v>
      </c>
      <c r="B51" s="36">
        <v>238.69000199999999</v>
      </c>
      <c r="C51" s="36">
        <v>10.140055</v>
      </c>
      <c r="D51" s="36">
        <v>128.89465300000001</v>
      </c>
      <c r="E51" s="36">
        <v>2945.830078</v>
      </c>
      <c r="F51" s="39">
        <f t="shared" si="7"/>
        <v>-0.22426577381318225</v>
      </c>
      <c r="G51" s="39">
        <f t="shared" si="4"/>
        <v>-7.1779689557896931E-2</v>
      </c>
      <c r="H51" s="39">
        <f t="shared" si="5"/>
        <v>-5.2986239855892237E-2</v>
      </c>
      <c r="I51" s="39">
        <f t="shared" si="6"/>
        <v>-6.577773118928687E-2</v>
      </c>
    </row>
    <row r="52" spans="1:9">
      <c r="A52" s="37">
        <v>43586</v>
      </c>
      <c r="B52" s="36">
        <v>185.16000399999999</v>
      </c>
      <c r="C52" s="36">
        <v>9.4122050000000002</v>
      </c>
      <c r="D52" s="36">
        <v>122.06501</v>
      </c>
      <c r="E52" s="36">
        <v>2752.0600589999999</v>
      </c>
      <c r="F52" s="39">
        <f t="shared" si="7"/>
        <v>0.20684814307953903</v>
      </c>
      <c r="G52" s="39">
        <f t="shared" si="4"/>
        <v>0.1122881407704146</v>
      </c>
      <c r="H52" s="39">
        <f t="shared" si="5"/>
        <v>8.7127097273821397E-2</v>
      </c>
      <c r="I52" s="39">
        <f t="shared" si="6"/>
        <v>6.8930163925612131E-2</v>
      </c>
    </row>
    <row r="53" spans="1:9">
      <c r="A53" s="37">
        <v>43617</v>
      </c>
      <c r="B53" s="36">
        <v>223.46000699999999</v>
      </c>
      <c r="C53" s="36">
        <v>10.469084000000001</v>
      </c>
      <c r="D53" s="36">
        <v>132.70017999999999</v>
      </c>
      <c r="E53" s="36">
        <v>2941.76001</v>
      </c>
      <c r="F53" s="39">
        <f t="shared" si="7"/>
        <v>8.1222560777956199E-2</v>
      </c>
      <c r="G53" s="39">
        <f t="shared" si="4"/>
        <v>-3.8041532573431791E-3</v>
      </c>
      <c r="H53" s="39">
        <f t="shared" si="5"/>
        <v>1.7243902758835805E-2</v>
      </c>
      <c r="I53" s="39">
        <f t="shared" si="6"/>
        <v>1.3128152149977756E-2</v>
      </c>
    </row>
    <row r="54" spans="1:9">
      <c r="A54" s="37">
        <v>43647</v>
      </c>
      <c r="B54" s="36">
        <v>241.61000100000001</v>
      </c>
      <c r="C54" s="36">
        <v>10.429258000000001</v>
      </c>
      <c r="D54" s="36">
        <v>134.988449</v>
      </c>
      <c r="E54" s="36">
        <v>2980.3798830000001</v>
      </c>
      <c r="F54" s="39">
        <f t="shared" si="7"/>
        <v>-6.622242429443137E-2</v>
      </c>
      <c r="G54" s="39">
        <f t="shared" si="4"/>
        <v>-0.21052629055681626</v>
      </c>
      <c r="H54" s="39">
        <f t="shared" si="5"/>
        <v>1.1667983532428039E-2</v>
      </c>
      <c r="I54" s="39">
        <f t="shared" si="6"/>
        <v>-1.8091627281326739E-2</v>
      </c>
    </row>
    <row r="55" spans="1:9">
      <c r="A55" s="37">
        <v>43678</v>
      </c>
      <c r="B55" s="36">
        <v>225.61000100000001</v>
      </c>
      <c r="C55" s="36">
        <v>8.233625</v>
      </c>
      <c r="D55" s="36">
        <v>136.563492</v>
      </c>
      <c r="E55" s="36">
        <v>2926.459961</v>
      </c>
      <c r="F55" s="39">
        <f t="shared" si="7"/>
        <v>6.7638818901472275E-2</v>
      </c>
      <c r="G55" s="39">
        <f t="shared" si="4"/>
        <v>8.3636429883556795E-2</v>
      </c>
      <c r="H55" s="39">
        <f t="shared" si="5"/>
        <v>1.1845032492285856E-2</v>
      </c>
      <c r="I55" s="39">
        <f t="shared" si="6"/>
        <v>1.7181177829208583E-2</v>
      </c>
    </row>
    <row r="56" spans="1:9">
      <c r="A56" s="37">
        <v>43709</v>
      </c>
      <c r="B56" s="36">
        <v>240.86999499999999</v>
      </c>
      <c r="C56" s="36">
        <v>8.9222560000000009</v>
      </c>
      <c r="D56" s="36">
        <v>138.18109100000001</v>
      </c>
      <c r="E56" s="36">
        <v>2976.73999</v>
      </c>
      <c r="F56" s="39">
        <f t="shared" si="7"/>
        <v>0.30742732402182349</v>
      </c>
      <c r="G56" s="39">
        <f t="shared" si="4"/>
        <v>0.11753798590849662</v>
      </c>
      <c r="H56" s="39">
        <f t="shared" si="5"/>
        <v>3.1216224801698722E-2</v>
      </c>
      <c r="I56" s="39">
        <f t="shared" si="6"/>
        <v>2.0431770730503063E-2</v>
      </c>
    </row>
    <row r="57" spans="1:9">
      <c r="A57" s="37">
        <v>43739</v>
      </c>
      <c r="B57" s="36">
        <v>314.92001299999998</v>
      </c>
      <c r="C57" s="36">
        <v>9.9709599999999998</v>
      </c>
      <c r="D57" s="36">
        <v>142.49458300000001</v>
      </c>
      <c r="E57" s="36">
        <v>3037.5600589999999</v>
      </c>
      <c r="F57" s="39">
        <f t="shared" si="7"/>
        <v>4.7694615711831645E-2</v>
      </c>
      <c r="G57" s="39">
        <f t="shared" si="4"/>
        <v>0.12925856687821424</v>
      </c>
      <c r="H57" s="39">
        <f t="shared" si="5"/>
        <v>5.5869527334944324E-2</v>
      </c>
      <c r="I57" s="39">
        <f t="shared" si="6"/>
        <v>3.4047037421886195E-2</v>
      </c>
    </row>
    <row r="58" spans="1:9">
      <c r="A58" s="37">
        <v>43770</v>
      </c>
      <c r="B58" s="36">
        <v>329.94000199999999</v>
      </c>
      <c r="C58" s="36">
        <v>11.259791999999999</v>
      </c>
      <c r="D58" s="36">
        <v>150.45568800000001</v>
      </c>
      <c r="E58" s="36">
        <v>3140.9799800000001</v>
      </c>
      <c r="F58" s="39">
        <f t="shared" si="7"/>
        <v>0.26789714634238271</v>
      </c>
      <c r="G58" s="39">
        <f t="shared" si="4"/>
        <v>-9.7604822540238168E-3</v>
      </c>
      <c r="H58" s="39">
        <f t="shared" si="5"/>
        <v>4.5294027036053341E-2</v>
      </c>
      <c r="I58" s="39">
        <f t="shared" si="6"/>
        <v>2.8589818964716907E-2</v>
      </c>
    </row>
    <row r="59" spans="1:9">
      <c r="A59" s="37">
        <v>43800</v>
      </c>
      <c r="B59" s="36">
        <v>418.32998700000002</v>
      </c>
      <c r="C59" s="36">
        <v>11.149891</v>
      </c>
      <c r="D59" s="36">
        <v>157.270432</v>
      </c>
      <c r="E59" s="36">
        <v>3230.780029</v>
      </c>
      <c r="F59" s="39">
        <f t="shared" si="7"/>
        <v>0.55515986713139931</v>
      </c>
      <c r="G59" s="39">
        <f t="shared" si="4"/>
        <v>0.11660284392017806</v>
      </c>
      <c r="H59" s="39">
        <f t="shared" si="5"/>
        <v>7.9454630098555468E-2</v>
      </c>
      <c r="I59" s="39">
        <f t="shared" si="6"/>
        <v>-1.6280925822201864E-3</v>
      </c>
    </row>
    <row r="60" spans="1:9">
      <c r="A60" s="37">
        <v>43831</v>
      </c>
      <c r="B60" s="36">
        <v>650.57000700000003</v>
      </c>
      <c r="C60" s="36">
        <v>12.45</v>
      </c>
      <c r="D60" s="36">
        <v>169.76629600000001</v>
      </c>
      <c r="E60" s="36">
        <v>3225.5200199999999</v>
      </c>
      <c r="F60" s="39">
        <f t="shared" si="7"/>
        <v>0.41017872500845232</v>
      </c>
      <c r="G60" s="39">
        <f t="shared" si="4"/>
        <v>1.2851405622489986E-2</v>
      </c>
      <c r="H60" s="39">
        <f t="shared" si="5"/>
        <v>0.10015869698894764</v>
      </c>
      <c r="I60" s="39">
        <f t="shared" si="6"/>
        <v>4.9799685323298704E-2</v>
      </c>
    </row>
    <row r="61" spans="1:9">
      <c r="A61" s="37">
        <v>43862</v>
      </c>
      <c r="B61" s="36">
        <v>917.419983</v>
      </c>
      <c r="C61" s="36">
        <v>12.61</v>
      </c>
      <c r="D61" s="36">
        <v>186.769867</v>
      </c>
      <c r="E61" s="36">
        <v>3386.1499020000001</v>
      </c>
      <c r="F61" s="39">
        <f t="shared" si="7"/>
        <v>-1</v>
      </c>
      <c r="G61" s="39">
        <f t="shared" si="4"/>
        <v>-1</v>
      </c>
      <c r="H61" s="39">
        <f t="shared" si="5"/>
        <v>-1</v>
      </c>
      <c r="I61" s="39">
        <f t="shared" si="6"/>
        <v>-1</v>
      </c>
    </row>
  </sheetData>
  <mergeCells count="5">
    <mergeCell ref="K10:L10"/>
    <mergeCell ref="J30:O30"/>
    <mergeCell ref="K18:L18"/>
    <mergeCell ref="R19:T19"/>
    <mergeCell ref="R18:W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return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caoxi</cp:lastModifiedBy>
  <dcterms:created xsi:type="dcterms:W3CDTF">2017-04-20T20:05:01Z</dcterms:created>
  <dcterms:modified xsi:type="dcterms:W3CDTF">2020-02-25T08:15:52Z</dcterms:modified>
</cp:coreProperties>
</file>